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LCA-SERVER\Management 2017\CSSL\Governance\Finance\Monthly reports\July 2019\"/>
    </mc:Choice>
  </mc:AlternateContent>
  <bookViews>
    <workbookView xWindow="630" yWindow="615" windowWidth="27495" windowHeight="15780"/>
  </bookViews>
  <sheets>
    <sheet name="Budget vs. Actuals" sheetId="1" r:id="rId1"/>
  </sheets>
  <calcPr calcId="162913"/>
</workbook>
</file>

<file path=xl/calcChain.xml><?xml version="1.0" encoding="utf-8"?>
<calcChain xmlns="http://schemas.openxmlformats.org/spreadsheetml/2006/main">
  <c r="F152" i="1" l="1"/>
  <c r="C152" i="1"/>
  <c r="C151" i="1"/>
  <c r="B151" i="1"/>
  <c r="D151" i="1" s="1"/>
  <c r="C150" i="1"/>
  <c r="B150" i="1"/>
  <c r="G149" i="1"/>
  <c r="C149" i="1"/>
  <c r="B149" i="1"/>
  <c r="B153" i="1" s="1"/>
  <c r="F153" i="1" s="1"/>
  <c r="F148" i="1"/>
  <c r="C148" i="1"/>
  <c r="G148" i="1" s="1"/>
  <c r="I148" i="1" s="1"/>
  <c r="G147" i="1"/>
  <c r="I147" i="1" s="1"/>
  <c r="F147" i="1"/>
  <c r="E147" i="1"/>
  <c r="D147" i="1"/>
  <c r="F146" i="1"/>
  <c r="C146" i="1"/>
  <c r="B145" i="1"/>
  <c r="F144" i="1"/>
  <c r="C144" i="1"/>
  <c r="F143" i="1"/>
  <c r="D143" i="1"/>
  <c r="C143" i="1"/>
  <c r="G143" i="1" s="1"/>
  <c r="F142" i="1"/>
  <c r="C142" i="1"/>
  <c r="F141" i="1"/>
  <c r="D141" i="1"/>
  <c r="C141" i="1"/>
  <c r="E141" i="1" s="1"/>
  <c r="C139" i="1"/>
  <c r="B139" i="1"/>
  <c r="F138" i="1"/>
  <c r="C138" i="1"/>
  <c r="C137" i="1"/>
  <c r="G137" i="1" s="1"/>
  <c r="B137" i="1"/>
  <c r="F137" i="1" s="1"/>
  <c r="H137" i="1" s="1"/>
  <c r="C136" i="1"/>
  <c r="G136" i="1" s="1"/>
  <c r="B136" i="1"/>
  <c r="F136" i="1" s="1"/>
  <c r="H136" i="1" s="1"/>
  <c r="F135" i="1"/>
  <c r="D135" i="1"/>
  <c r="C135" i="1"/>
  <c r="G135" i="1" s="1"/>
  <c r="F134" i="1"/>
  <c r="C134" i="1"/>
  <c r="F133" i="1"/>
  <c r="D133" i="1"/>
  <c r="C133" i="1"/>
  <c r="E133" i="1" s="1"/>
  <c r="C132" i="1"/>
  <c r="B132" i="1"/>
  <c r="F131" i="1"/>
  <c r="C131" i="1"/>
  <c r="C130" i="1"/>
  <c r="G130" i="1" s="1"/>
  <c r="B130" i="1"/>
  <c r="F130" i="1" s="1"/>
  <c r="F129" i="1"/>
  <c r="E129" i="1"/>
  <c r="C129" i="1"/>
  <c r="C128" i="1"/>
  <c r="B128" i="1"/>
  <c r="F128" i="1" s="1"/>
  <c r="C127" i="1"/>
  <c r="B127" i="1"/>
  <c r="F127" i="1" s="1"/>
  <c r="C126" i="1"/>
  <c r="B126" i="1"/>
  <c r="F126" i="1" s="1"/>
  <c r="C125" i="1"/>
  <c r="B125" i="1"/>
  <c r="F125" i="1" s="1"/>
  <c r="G124" i="1"/>
  <c r="F124" i="1"/>
  <c r="E124" i="1"/>
  <c r="D124" i="1"/>
  <c r="F122" i="1"/>
  <c r="C122" i="1"/>
  <c r="F121" i="1"/>
  <c r="H121" i="1" s="1"/>
  <c r="D121" i="1"/>
  <c r="C121" i="1"/>
  <c r="G121" i="1" s="1"/>
  <c r="I121" i="1" s="1"/>
  <c r="C120" i="1"/>
  <c r="B120" i="1"/>
  <c r="F120" i="1" s="1"/>
  <c r="C119" i="1"/>
  <c r="B119" i="1"/>
  <c r="F119" i="1" s="1"/>
  <c r="F118" i="1"/>
  <c r="C118" i="1"/>
  <c r="C117" i="1"/>
  <c r="B117" i="1"/>
  <c r="B123" i="1" s="1"/>
  <c r="G116" i="1"/>
  <c r="I116" i="1" s="1"/>
  <c r="F116" i="1"/>
  <c r="H116" i="1" s="1"/>
  <c r="E116" i="1"/>
  <c r="D116" i="1"/>
  <c r="E114" i="1"/>
  <c r="C114" i="1"/>
  <c r="G114" i="1" s="1"/>
  <c r="I114" i="1" s="1"/>
  <c r="B114" i="1"/>
  <c r="F114" i="1" s="1"/>
  <c r="H114" i="1" s="1"/>
  <c r="F113" i="1"/>
  <c r="E113" i="1"/>
  <c r="C113" i="1"/>
  <c r="F112" i="1"/>
  <c r="C112" i="1"/>
  <c r="G112" i="1" s="1"/>
  <c r="G111" i="1"/>
  <c r="I111" i="1" s="1"/>
  <c r="F111" i="1"/>
  <c r="H111" i="1" s="1"/>
  <c r="E111" i="1"/>
  <c r="D111" i="1"/>
  <c r="C109" i="1"/>
  <c r="G109" i="1" s="1"/>
  <c r="B109" i="1"/>
  <c r="C108" i="1"/>
  <c r="G108" i="1" s="1"/>
  <c r="B108" i="1"/>
  <c r="E108" i="1" s="1"/>
  <c r="C107" i="1"/>
  <c r="G107" i="1" s="1"/>
  <c r="B107" i="1"/>
  <c r="F107" i="1" s="1"/>
  <c r="H107" i="1" s="1"/>
  <c r="C106" i="1"/>
  <c r="G106" i="1" s="1"/>
  <c r="B106" i="1"/>
  <c r="F106" i="1" s="1"/>
  <c r="H106" i="1" s="1"/>
  <c r="C105" i="1"/>
  <c r="G105" i="1" s="1"/>
  <c r="B105" i="1"/>
  <c r="F105" i="1" s="1"/>
  <c r="C104" i="1"/>
  <c r="G104" i="1" s="1"/>
  <c r="B104" i="1"/>
  <c r="F104" i="1" s="1"/>
  <c r="C103" i="1"/>
  <c r="G103" i="1" s="1"/>
  <c r="B103" i="1"/>
  <c r="F103" i="1" s="1"/>
  <c r="H103" i="1" s="1"/>
  <c r="C102" i="1"/>
  <c r="C110" i="1" s="1"/>
  <c r="B102" i="1"/>
  <c r="F102" i="1" s="1"/>
  <c r="I101" i="1"/>
  <c r="G101" i="1"/>
  <c r="F101" i="1"/>
  <c r="H101" i="1" s="1"/>
  <c r="E101" i="1"/>
  <c r="D101" i="1"/>
  <c r="G99" i="1"/>
  <c r="C99" i="1"/>
  <c r="B99" i="1"/>
  <c r="C98" i="1"/>
  <c r="E98" i="1" s="1"/>
  <c r="B98" i="1"/>
  <c r="F98" i="1" s="1"/>
  <c r="G97" i="1"/>
  <c r="C97" i="1"/>
  <c r="B97" i="1"/>
  <c r="C96" i="1"/>
  <c r="E96" i="1" s="1"/>
  <c r="B96" i="1"/>
  <c r="F96" i="1" s="1"/>
  <c r="G95" i="1"/>
  <c r="I95" i="1" s="1"/>
  <c r="F95" i="1"/>
  <c r="D95" i="1"/>
  <c r="C95" i="1"/>
  <c r="E95" i="1" s="1"/>
  <c r="F94" i="1"/>
  <c r="D94" i="1"/>
  <c r="C94" i="1"/>
  <c r="G94" i="1" s="1"/>
  <c r="C93" i="1"/>
  <c r="G93" i="1" s="1"/>
  <c r="I93" i="1" s="1"/>
  <c r="B93" i="1"/>
  <c r="B100" i="1" s="1"/>
  <c r="F100" i="1" s="1"/>
  <c r="F92" i="1"/>
  <c r="D92" i="1"/>
  <c r="C92" i="1"/>
  <c r="G91" i="1"/>
  <c r="I91" i="1" s="1"/>
  <c r="F91" i="1"/>
  <c r="E91" i="1"/>
  <c r="D91" i="1"/>
  <c r="E89" i="1"/>
  <c r="C89" i="1"/>
  <c r="B89" i="1"/>
  <c r="B90" i="1" s="1"/>
  <c r="F88" i="1"/>
  <c r="E88" i="1"/>
  <c r="C88" i="1"/>
  <c r="D88" i="1" s="1"/>
  <c r="F87" i="1"/>
  <c r="C87" i="1"/>
  <c r="F86" i="1"/>
  <c r="H86" i="1" s="1"/>
  <c r="C86" i="1"/>
  <c r="G86" i="1" s="1"/>
  <c r="I86" i="1" s="1"/>
  <c r="I85" i="1"/>
  <c r="G85" i="1"/>
  <c r="F85" i="1"/>
  <c r="H85" i="1" s="1"/>
  <c r="E85" i="1"/>
  <c r="D85" i="1"/>
  <c r="C84" i="1"/>
  <c r="G84" i="1" s="1"/>
  <c r="B84" i="1"/>
  <c r="F84" i="1" s="1"/>
  <c r="F82" i="1"/>
  <c r="C82" i="1"/>
  <c r="F81" i="1"/>
  <c r="C81" i="1"/>
  <c r="E80" i="1"/>
  <c r="C80" i="1"/>
  <c r="G80" i="1" s="1"/>
  <c r="I80" i="1" s="1"/>
  <c r="B80" i="1"/>
  <c r="D80" i="1" s="1"/>
  <c r="F79" i="1"/>
  <c r="C79" i="1"/>
  <c r="F78" i="1"/>
  <c r="E78" i="1"/>
  <c r="C78" i="1"/>
  <c r="F77" i="1"/>
  <c r="C77" i="1"/>
  <c r="E77" i="1" s="1"/>
  <c r="C76" i="1"/>
  <c r="G76" i="1" s="1"/>
  <c r="B76" i="1"/>
  <c r="G75" i="1"/>
  <c r="I75" i="1" s="1"/>
  <c r="C75" i="1"/>
  <c r="E75" i="1" s="1"/>
  <c r="B75" i="1"/>
  <c r="F75" i="1" s="1"/>
  <c r="G74" i="1"/>
  <c r="I74" i="1" s="1"/>
  <c r="F74" i="1"/>
  <c r="E74" i="1"/>
  <c r="C74" i="1"/>
  <c r="D74" i="1" s="1"/>
  <c r="F73" i="1"/>
  <c r="C73" i="1"/>
  <c r="F72" i="1"/>
  <c r="C72" i="1"/>
  <c r="E72" i="1" s="1"/>
  <c r="F71" i="1"/>
  <c r="C71" i="1"/>
  <c r="G70" i="1"/>
  <c r="I70" i="1" s="1"/>
  <c r="F70" i="1"/>
  <c r="E70" i="1"/>
  <c r="D70" i="1"/>
  <c r="F69" i="1"/>
  <c r="D69" i="1"/>
  <c r="C69" i="1"/>
  <c r="G69" i="1" s="1"/>
  <c r="F68" i="1"/>
  <c r="C68" i="1"/>
  <c r="E68" i="1" s="1"/>
  <c r="G67" i="1"/>
  <c r="C67" i="1"/>
  <c r="B67" i="1"/>
  <c r="F67" i="1" s="1"/>
  <c r="C65" i="1"/>
  <c r="B65" i="1"/>
  <c r="B66" i="1" s="1"/>
  <c r="F64" i="1"/>
  <c r="C64" i="1"/>
  <c r="G64" i="1" s="1"/>
  <c r="F63" i="1"/>
  <c r="D63" i="1"/>
  <c r="C63" i="1"/>
  <c r="E63" i="1" s="1"/>
  <c r="I62" i="1"/>
  <c r="G62" i="1"/>
  <c r="F62" i="1"/>
  <c r="H62" i="1" s="1"/>
  <c r="E62" i="1"/>
  <c r="D62" i="1"/>
  <c r="C60" i="1"/>
  <c r="B60" i="1"/>
  <c r="F60" i="1" s="1"/>
  <c r="F59" i="1"/>
  <c r="C59" i="1"/>
  <c r="G59" i="1" s="1"/>
  <c r="F58" i="1"/>
  <c r="C58" i="1"/>
  <c r="C57" i="1"/>
  <c r="B57" i="1"/>
  <c r="F56" i="1"/>
  <c r="C56" i="1"/>
  <c r="C55" i="1"/>
  <c r="G55" i="1" s="1"/>
  <c r="I55" i="1" s="1"/>
  <c r="B55" i="1"/>
  <c r="F55" i="1" s="1"/>
  <c r="F54" i="1"/>
  <c r="D54" i="1"/>
  <c r="C54" i="1"/>
  <c r="G54" i="1" s="1"/>
  <c r="I54" i="1" s="1"/>
  <c r="C53" i="1"/>
  <c r="G53" i="1" s="1"/>
  <c r="B53" i="1"/>
  <c r="G52" i="1"/>
  <c r="F52" i="1"/>
  <c r="E52" i="1"/>
  <c r="D52" i="1"/>
  <c r="E48" i="1"/>
  <c r="C48" i="1"/>
  <c r="G48" i="1" s="1"/>
  <c r="I48" i="1" s="1"/>
  <c r="I47" i="1"/>
  <c r="G47" i="1"/>
  <c r="E47" i="1"/>
  <c r="B47" i="1"/>
  <c r="D47" i="1" s="1"/>
  <c r="I46" i="1"/>
  <c r="G46" i="1"/>
  <c r="F46" i="1"/>
  <c r="H46" i="1" s="1"/>
  <c r="E46" i="1"/>
  <c r="D46" i="1"/>
  <c r="B45" i="1"/>
  <c r="F45" i="1" s="1"/>
  <c r="F44" i="1"/>
  <c r="D44" i="1"/>
  <c r="C44" i="1"/>
  <c r="E44" i="1" s="1"/>
  <c r="I43" i="1"/>
  <c r="G43" i="1"/>
  <c r="E43" i="1"/>
  <c r="B43" i="1"/>
  <c r="D43" i="1" s="1"/>
  <c r="F42" i="1"/>
  <c r="D42" i="1"/>
  <c r="C42" i="1"/>
  <c r="G42" i="1" s="1"/>
  <c r="I42" i="1" s="1"/>
  <c r="F41" i="1"/>
  <c r="C41" i="1"/>
  <c r="F40" i="1"/>
  <c r="C40" i="1"/>
  <c r="F39" i="1"/>
  <c r="E39" i="1"/>
  <c r="C39" i="1"/>
  <c r="D39" i="1" s="1"/>
  <c r="I38" i="1"/>
  <c r="G38" i="1"/>
  <c r="F38" i="1"/>
  <c r="H38" i="1" s="1"/>
  <c r="E38" i="1"/>
  <c r="D38" i="1"/>
  <c r="F36" i="1"/>
  <c r="D36" i="1"/>
  <c r="C36" i="1"/>
  <c r="E36" i="1" s="1"/>
  <c r="C35" i="1"/>
  <c r="G35" i="1" s="1"/>
  <c r="B35" i="1"/>
  <c r="D35" i="1" s="1"/>
  <c r="G34" i="1"/>
  <c r="I34" i="1" s="1"/>
  <c r="F34" i="1"/>
  <c r="E34" i="1"/>
  <c r="D34" i="1"/>
  <c r="B33" i="1"/>
  <c r="F33" i="1" s="1"/>
  <c r="F32" i="1"/>
  <c r="C32" i="1"/>
  <c r="F31" i="1"/>
  <c r="D31" i="1"/>
  <c r="C31" i="1"/>
  <c r="E31" i="1" s="1"/>
  <c r="I30" i="1"/>
  <c r="G30" i="1"/>
  <c r="F30" i="1"/>
  <c r="H30" i="1" s="1"/>
  <c r="E30" i="1"/>
  <c r="D30" i="1"/>
  <c r="F28" i="1"/>
  <c r="C28" i="1"/>
  <c r="G28" i="1" s="1"/>
  <c r="C27" i="1"/>
  <c r="B27" i="1"/>
  <c r="F26" i="1"/>
  <c r="C26" i="1"/>
  <c r="G25" i="1"/>
  <c r="I25" i="1" s="1"/>
  <c r="F25" i="1"/>
  <c r="E25" i="1"/>
  <c r="D25" i="1"/>
  <c r="F23" i="1"/>
  <c r="C23" i="1"/>
  <c r="G23" i="1" s="1"/>
  <c r="C22" i="1"/>
  <c r="B22" i="1"/>
  <c r="F22" i="1" s="1"/>
  <c r="F21" i="1"/>
  <c r="D21" i="1"/>
  <c r="C21" i="1"/>
  <c r="E21" i="1" s="1"/>
  <c r="F19" i="1"/>
  <c r="C19" i="1"/>
  <c r="F18" i="1"/>
  <c r="C18" i="1"/>
  <c r="G18" i="1" s="1"/>
  <c r="I18" i="1" s="1"/>
  <c r="F17" i="1"/>
  <c r="C17" i="1"/>
  <c r="G17" i="1" s="1"/>
  <c r="C16" i="1"/>
  <c r="E16" i="1" s="1"/>
  <c r="B16" i="1"/>
  <c r="D16" i="1" s="1"/>
  <c r="C15" i="1"/>
  <c r="E15" i="1" s="1"/>
  <c r="B15" i="1"/>
  <c r="G14" i="1"/>
  <c r="I14" i="1" s="1"/>
  <c r="E14" i="1"/>
  <c r="B14" i="1"/>
  <c r="B20" i="1" s="1"/>
  <c r="F13" i="1"/>
  <c r="E13" i="1"/>
  <c r="C13" i="1"/>
  <c r="D13" i="1" s="1"/>
  <c r="F12" i="1"/>
  <c r="D12" i="1"/>
  <c r="C12" i="1"/>
  <c r="G12" i="1" s="1"/>
  <c r="I12" i="1" s="1"/>
  <c r="F11" i="1"/>
  <c r="C11" i="1"/>
  <c r="G11" i="1" s="1"/>
  <c r="F10" i="1"/>
  <c r="C10" i="1"/>
  <c r="E10" i="1" s="1"/>
  <c r="F9" i="1"/>
  <c r="E9" i="1"/>
  <c r="C9" i="1"/>
  <c r="D9" i="1" s="1"/>
  <c r="G8" i="1"/>
  <c r="I8" i="1" s="1"/>
  <c r="F8" i="1"/>
  <c r="H8" i="1" s="1"/>
  <c r="E8" i="1"/>
  <c r="D8" i="1"/>
  <c r="E18" i="1" l="1"/>
  <c r="D19" i="1"/>
  <c r="E19" i="1"/>
  <c r="E26" i="1"/>
  <c r="C29" i="1"/>
  <c r="D26" i="1"/>
  <c r="E40" i="1"/>
  <c r="D40" i="1"/>
  <c r="G57" i="1"/>
  <c r="E57" i="1"/>
  <c r="I67" i="1"/>
  <c r="G71" i="1"/>
  <c r="I71" i="1" s="1"/>
  <c r="D71" i="1"/>
  <c r="G73" i="1"/>
  <c r="I73" i="1" s="1"/>
  <c r="D73" i="1"/>
  <c r="G79" i="1"/>
  <c r="I79" i="1" s="1"/>
  <c r="D79" i="1"/>
  <c r="D81" i="1"/>
  <c r="G81" i="1"/>
  <c r="I81" i="1" s="1"/>
  <c r="E81" i="1"/>
  <c r="G82" i="1"/>
  <c r="I82" i="1" s="1"/>
  <c r="D82" i="1"/>
  <c r="D93" i="1"/>
  <c r="D106" i="1"/>
  <c r="G113" i="1"/>
  <c r="I113" i="1" s="1"/>
  <c r="D113" i="1"/>
  <c r="F117" i="1"/>
  <c r="D119" i="1"/>
  <c r="G119" i="1"/>
  <c r="I119" i="1" s="1"/>
  <c r="H124" i="1"/>
  <c r="I124" i="1"/>
  <c r="E127" i="1"/>
  <c r="D128" i="1"/>
  <c r="E128" i="1"/>
  <c r="D134" i="1"/>
  <c r="E134" i="1"/>
  <c r="E152" i="1"/>
  <c r="D152" i="1"/>
  <c r="D10" i="1"/>
  <c r="E12" i="1"/>
  <c r="D14" i="1"/>
  <c r="F14" i="1"/>
  <c r="H14" i="1" s="1"/>
  <c r="D15" i="1"/>
  <c r="F15" i="1"/>
  <c r="D18" i="1"/>
  <c r="C24" i="1"/>
  <c r="E35" i="1"/>
  <c r="B37" i="1"/>
  <c r="D56" i="1"/>
  <c r="E56" i="1"/>
  <c r="E58" i="1"/>
  <c r="D58" i="1"/>
  <c r="H71" i="1"/>
  <c r="E73" i="1"/>
  <c r="G78" i="1"/>
  <c r="D78" i="1"/>
  <c r="E79" i="1"/>
  <c r="G87" i="1"/>
  <c r="I87" i="1" s="1"/>
  <c r="D87" i="1"/>
  <c r="D103" i="1"/>
  <c r="I106" i="1"/>
  <c r="D107" i="1"/>
  <c r="E120" i="1"/>
  <c r="E125" i="1"/>
  <c r="D126" i="1"/>
  <c r="E126" i="1"/>
  <c r="G129" i="1"/>
  <c r="D129" i="1"/>
  <c r="D142" i="1"/>
  <c r="E142" i="1"/>
  <c r="E146" i="1"/>
  <c r="D146" i="1"/>
  <c r="E150" i="1"/>
  <c r="G150" i="1"/>
  <c r="H25" i="1"/>
  <c r="H34" i="1"/>
  <c r="E42" i="1"/>
  <c r="B61" i="1"/>
  <c r="E54" i="1"/>
  <c r="D55" i="1"/>
  <c r="D57" i="1"/>
  <c r="C66" i="1"/>
  <c r="E66" i="1" s="1"/>
  <c r="E69" i="1"/>
  <c r="H70" i="1"/>
  <c r="H73" i="1"/>
  <c r="H75" i="1"/>
  <c r="D76" i="1"/>
  <c r="H84" i="1"/>
  <c r="D84" i="1"/>
  <c r="D89" i="1"/>
  <c r="H91" i="1"/>
  <c r="C100" i="1"/>
  <c r="H94" i="1"/>
  <c r="E94" i="1"/>
  <c r="D96" i="1"/>
  <c r="D98" i="1"/>
  <c r="D102" i="1"/>
  <c r="E103" i="1"/>
  <c r="I105" i="1"/>
  <c r="E107" i="1"/>
  <c r="H113" i="1"/>
  <c r="E117" i="1"/>
  <c r="D120" i="1"/>
  <c r="E121" i="1"/>
  <c r="D125" i="1"/>
  <c r="D127" i="1"/>
  <c r="H129" i="1"/>
  <c r="I130" i="1"/>
  <c r="I135" i="1"/>
  <c r="E135" i="1"/>
  <c r="I143" i="1"/>
  <c r="E143" i="1"/>
  <c r="H147" i="1"/>
  <c r="E149" i="1"/>
  <c r="D150" i="1"/>
  <c r="E151" i="1"/>
  <c r="I28" i="1"/>
  <c r="H28" i="1"/>
  <c r="I17" i="1"/>
  <c r="H17" i="1"/>
  <c r="I23" i="1"/>
  <c r="H23" i="1"/>
  <c r="I11" i="1"/>
  <c r="H11" i="1"/>
  <c r="F20" i="1"/>
  <c r="B29" i="1"/>
  <c r="D27" i="1"/>
  <c r="H42" i="1"/>
  <c r="I59" i="1"/>
  <c r="H59" i="1"/>
  <c r="C61" i="1"/>
  <c r="I64" i="1"/>
  <c r="H64" i="1"/>
  <c r="I78" i="1"/>
  <c r="H78" i="1"/>
  <c r="E22" i="1"/>
  <c r="E27" i="1"/>
  <c r="E41" i="1"/>
  <c r="D41" i="1"/>
  <c r="F66" i="1"/>
  <c r="D66" i="1"/>
  <c r="G66" i="1"/>
  <c r="I66" i="1" s="1"/>
  <c r="E32" i="1"/>
  <c r="D32" i="1"/>
  <c r="H18" i="1"/>
  <c r="F27" i="1"/>
  <c r="E29" i="1"/>
  <c r="G32" i="1"/>
  <c r="I52" i="1"/>
  <c r="H52" i="1"/>
  <c r="H54" i="1"/>
  <c r="H55" i="1"/>
  <c r="E59" i="1"/>
  <c r="D59" i="1"/>
  <c r="E60" i="1"/>
  <c r="D60" i="1"/>
  <c r="E64" i="1"/>
  <c r="D64" i="1"/>
  <c r="E65" i="1"/>
  <c r="D65" i="1"/>
  <c r="H67" i="1"/>
  <c r="I104" i="1"/>
  <c r="H104" i="1"/>
  <c r="E11" i="1"/>
  <c r="D11" i="1"/>
  <c r="B24" i="1"/>
  <c r="D22" i="1"/>
  <c r="C33" i="1"/>
  <c r="E53" i="1"/>
  <c r="D53" i="1"/>
  <c r="F16" i="1"/>
  <c r="E24" i="1"/>
  <c r="H12" i="1"/>
  <c r="H15" i="1"/>
  <c r="E17" i="1"/>
  <c r="D17" i="1"/>
  <c r="E23" i="1"/>
  <c r="D23" i="1"/>
  <c r="G24" i="1"/>
  <c r="E28" i="1"/>
  <c r="D28" i="1"/>
  <c r="G29" i="1"/>
  <c r="F37" i="1"/>
  <c r="G41" i="1"/>
  <c r="F61" i="1"/>
  <c r="D61" i="1"/>
  <c r="G60" i="1"/>
  <c r="I60" i="1" s="1"/>
  <c r="G65" i="1"/>
  <c r="E67" i="1"/>
  <c r="D67" i="1"/>
  <c r="H69" i="1"/>
  <c r="I69" i="1"/>
  <c r="E100" i="1"/>
  <c r="G100" i="1"/>
  <c r="I100" i="1" s="1"/>
  <c r="E109" i="1"/>
  <c r="F109" i="1"/>
  <c r="H109" i="1" s="1"/>
  <c r="D109" i="1"/>
  <c r="D144" i="1"/>
  <c r="E144" i="1"/>
  <c r="G144" i="1"/>
  <c r="I144" i="1" s="1"/>
  <c r="G10" i="1"/>
  <c r="I10" i="1" s="1"/>
  <c r="G15" i="1"/>
  <c r="I15" i="1" s="1"/>
  <c r="G16" i="1"/>
  <c r="I16" i="1" s="1"/>
  <c r="G21" i="1"/>
  <c r="I21" i="1" s="1"/>
  <c r="G22" i="1"/>
  <c r="I22" i="1" s="1"/>
  <c r="G26" i="1"/>
  <c r="I26" i="1" s="1"/>
  <c r="G27" i="1"/>
  <c r="I27" i="1" s="1"/>
  <c r="G31" i="1"/>
  <c r="I31" i="1" s="1"/>
  <c r="F35" i="1"/>
  <c r="H35" i="1" s="1"/>
  <c r="G36" i="1"/>
  <c r="I36" i="1" s="1"/>
  <c r="C37" i="1"/>
  <c r="G40" i="1"/>
  <c r="I40" i="1" s="1"/>
  <c r="F43" i="1"/>
  <c r="H43" i="1" s="1"/>
  <c r="G44" i="1"/>
  <c r="I44" i="1" s="1"/>
  <c r="C45" i="1"/>
  <c r="D45" i="1" s="1"/>
  <c r="F47" i="1"/>
  <c r="H47" i="1" s="1"/>
  <c r="B48" i="1"/>
  <c r="E55" i="1"/>
  <c r="F57" i="1"/>
  <c r="H57" i="1" s="1"/>
  <c r="G58" i="1"/>
  <c r="I58" i="1" s="1"/>
  <c r="G63" i="1"/>
  <c r="I63" i="1" s="1"/>
  <c r="G68" i="1"/>
  <c r="I68" i="1" s="1"/>
  <c r="D72" i="1"/>
  <c r="G77" i="1"/>
  <c r="I77" i="1" s="1"/>
  <c r="H81" i="1"/>
  <c r="H87" i="1"/>
  <c r="D100" i="1"/>
  <c r="I103" i="1"/>
  <c r="H105" i="1"/>
  <c r="E132" i="1"/>
  <c r="G132" i="1"/>
  <c r="E139" i="1"/>
  <c r="G139" i="1"/>
  <c r="H148" i="1"/>
  <c r="G72" i="1"/>
  <c r="F80" i="1"/>
  <c r="H80" i="1" s="1"/>
  <c r="H100" i="1"/>
  <c r="G9" i="1"/>
  <c r="I9" i="1" s="1"/>
  <c r="G13" i="1"/>
  <c r="I13" i="1" s="1"/>
  <c r="C20" i="1"/>
  <c r="G39" i="1"/>
  <c r="I39" i="1" s="1"/>
  <c r="G56" i="1"/>
  <c r="I56" i="1" s="1"/>
  <c r="B83" i="1"/>
  <c r="B154" i="1" s="1"/>
  <c r="D75" i="1"/>
  <c r="E76" i="1"/>
  <c r="H79" i="1"/>
  <c r="F90" i="1"/>
  <c r="F99" i="1"/>
  <c r="H99" i="1" s="1"/>
  <c r="D99" i="1"/>
  <c r="B115" i="1"/>
  <c r="D114" i="1"/>
  <c r="D118" i="1"/>
  <c r="G118" i="1"/>
  <c r="C123" i="1"/>
  <c r="E118" i="1"/>
  <c r="D131" i="1"/>
  <c r="E131" i="1"/>
  <c r="C140" i="1"/>
  <c r="G131" i="1"/>
  <c r="I131" i="1" s="1"/>
  <c r="D138" i="1"/>
  <c r="E138" i="1"/>
  <c r="G138" i="1"/>
  <c r="I138" i="1" s="1"/>
  <c r="I94" i="1"/>
  <c r="F97" i="1"/>
  <c r="H97" i="1" s="1"/>
  <c r="D97" i="1"/>
  <c r="E104" i="1"/>
  <c r="D104" i="1"/>
  <c r="H112" i="1"/>
  <c r="I112" i="1"/>
  <c r="G19" i="1"/>
  <c r="I19" i="1" s="1"/>
  <c r="F53" i="1"/>
  <c r="H53" i="1" s="1"/>
  <c r="F65" i="1"/>
  <c r="D68" i="1"/>
  <c r="C83" i="1"/>
  <c r="E71" i="1"/>
  <c r="H74" i="1"/>
  <c r="F76" i="1"/>
  <c r="H76" i="1" s="1"/>
  <c r="D77" i="1"/>
  <c r="H82" i="1"/>
  <c r="I84" i="1"/>
  <c r="C90" i="1"/>
  <c r="E86" i="1"/>
  <c r="D86" i="1"/>
  <c r="H95" i="1"/>
  <c r="D122" i="1"/>
  <c r="G122" i="1"/>
  <c r="I122" i="1" s="1"/>
  <c r="E122" i="1"/>
  <c r="C145" i="1"/>
  <c r="E82" i="1"/>
  <c r="E84" i="1"/>
  <c r="E87" i="1"/>
  <c r="F89" i="1"/>
  <c r="E92" i="1"/>
  <c r="E93" i="1"/>
  <c r="E97" i="1"/>
  <c r="E99" i="1"/>
  <c r="E102" i="1"/>
  <c r="D105" i="1"/>
  <c r="E106" i="1"/>
  <c r="D108" i="1"/>
  <c r="I109" i="1"/>
  <c r="B110" i="1"/>
  <c r="D117" i="1"/>
  <c r="H119" i="1"/>
  <c r="G120" i="1"/>
  <c r="I120" i="1" s="1"/>
  <c r="I129" i="1"/>
  <c r="E130" i="1"/>
  <c r="D130" i="1"/>
  <c r="H131" i="1"/>
  <c r="H135" i="1"/>
  <c r="E137" i="1"/>
  <c r="D137" i="1"/>
  <c r="H138" i="1"/>
  <c r="H144" i="1"/>
  <c r="G88" i="1"/>
  <c r="G89" i="1"/>
  <c r="I89" i="1" s="1"/>
  <c r="F93" i="1"/>
  <c r="H93" i="1" s="1"/>
  <c r="G96" i="1"/>
  <c r="I96" i="1" s="1"/>
  <c r="G98" i="1"/>
  <c r="I98" i="1" s="1"/>
  <c r="E105" i="1"/>
  <c r="I107" i="1"/>
  <c r="F108" i="1"/>
  <c r="H108" i="1" s="1"/>
  <c r="C115" i="1"/>
  <c r="D112" i="1"/>
  <c r="H120" i="1"/>
  <c r="H122" i="1"/>
  <c r="E136" i="1"/>
  <c r="D136" i="1"/>
  <c r="I137" i="1"/>
  <c r="D149" i="1"/>
  <c r="G151" i="1"/>
  <c r="G92" i="1"/>
  <c r="G110" i="1"/>
  <c r="E110" i="1"/>
  <c r="E112" i="1"/>
  <c r="D123" i="1"/>
  <c r="F123" i="1"/>
  <c r="E119" i="1"/>
  <c r="H130" i="1"/>
  <c r="D132" i="1"/>
  <c r="I136" i="1"/>
  <c r="D139" i="1"/>
  <c r="H143" i="1"/>
  <c r="D145" i="1"/>
  <c r="D148" i="1"/>
  <c r="C153" i="1"/>
  <c r="E148" i="1"/>
  <c r="G125" i="1"/>
  <c r="I125" i="1" s="1"/>
  <c r="G126" i="1"/>
  <c r="I126" i="1" s="1"/>
  <c r="G127" i="1"/>
  <c r="I127" i="1" s="1"/>
  <c r="G128" i="1"/>
  <c r="I128" i="1" s="1"/>
  <c r="G134" i="1"/>
  <c r="G142" i="1"/>
  <c r="G117" i="1"/>
  <c r="I117" i="1" s="1"/>
  <c r="F132" i="1"/>
  <c r="G133" i="1"/>
  <c r="F139" i="1"/>
  <c r="H139" i="1" s="1"/>
  <c r="B140" i="1"/>
  <c r="G141" i="1"/>
  <c r="F145" i="1"/>
  <c r="G146" i="1"/>
  <c r="F149" i="1"/>
  <c r="H149" i="1" s="1"/>
  <c r="F150" i="1"/>
  <c r="H150" i="1" s="1"/>
  <c r="F151" i="1"/>
  <c r="H151" i="1" s="1"/>
  <c r="G152" i="1"/>
  <c r="G102" i="1"/>
  <c r="I102" i="1" s="1"/>
  <c r="H126" i="1" l="1"/>
  <c r="I65" i="1"/>
  <c r="H13" i="1"/>
  <c r="H128" i="1"/>
  <c r="I132" i="1"/>
  <c r="I76" i="1"/>
  <c r="D48" i="1"/>
  <c r="F48" i="1"/>
  <c r="H48" i="1" s="1"/>
  <c r="F154" i="1"/>
  <c r="F24" i="1"/>
  <c r="H24" i="1" s="1"/>
  <c r="D24" i="1"/>
  <c r="I32" i="1"/>
  <c r="H32" i="1"/>
  <c r="H63" i="1"/>
  <c r="I53" i="1"/>
  <c r="I35" i="1"/>
  <c r="I141" i="1"/>
  <c r="H141" i="1"/>
  <c r="H132" i="1"/>
  <c r="I150" i="1"/>
  <c r="I92" i="1"/>
  <c r="H92" i="1"/>
  <c r="H127" i="1"/>
  <c r="H89" i="1"/>
  <c r="E145" i="1"/>
  <c r="G145" i="1"/>
  <c r="I145" i="1" s="1"/>
  <c r="I108" i="1"/>
  <c r="G83" i="1"/>
  <c r="E83" i="1"/>
  <c r="I97" i="1"/>
  <c r="I149" i="1"/>
  <c r="H44" i="1"/>
  <c r="H31" i="1"/>
  <c r="H26" i="1"/>
  <c r="H21" i="1"/>
  <c r="H16" i="1"/>
  <c r="H39" i="1"/>
  <c r="H68" i="1"/>
  <c r="H40" i="1"/>
  <c r="H60" i="1"/>
  <c r="H19" i="1"/>
  <c r="B49" i="1"/>
  <c r="H22" i="1"/>
  <c r="H134" i="1"/>
  <c r="I134" i="1"/>
  <c r="D140" i="1"/>
  <c r="F140" i="1"/>
  <c r="I151" i="1"/>
  <c r="H98" i="1"/>
  <c r="G90" i="1"/>
  <c r="I90" i="1" s="1"/>
  <c r="E90" i="1"/>
  <c r="H102" i="1"/>
  <c r="E140" i="1"/>
  <c r="G140" i="1"/>
  <c r="G123" i="1"/>
  <c r="I123" i="1" s="1"/>
  <c r="E123" i="1"/>
  <c r="D115" i="1"/>
  <c r="F115" i="1"/>
  <c r="G20" i="1"/>
  <c r="I20" i="1" s="1"/>
  <c r="C49" i="1"/>
  <c r="E20" i="1"/>
  <c r="I139" i="1"/>
  <c r="H117" i="1"/>
  <c r="H96" i="1"/>
  <c r="E45" i="1"/>
  <c r="G45" i="1"/>
  <c r="E37" i="1"/>
  <c r="G37" i="1"/>
  <c r="I37" i="1" s="1"/>
  <c r="I41" i="1"/>
  <c r="H41" i="1"/>
  <c r="I24" i="1"/>
  <c r="H10" i="1"/>
  <c r="E33" i="1"/>
  <c r="D33" i="1"/>
  <c r="G33" i="1"/>
  <c r="H27" i="1"/>
  <c r="H58" i="1"/>
  <c r="H36" i="1"/>
  <c r="C154" i="1"/>
  <c r="D154" i="1" s="1"/>
  <c r="E61" i="1"/>
  <c r="G61" i="1"/>
  <c r="I61" i="1" s="1"/>
  <c r="D20" i="1"/>
  <c r="H145" i="1"/>
  <c r="I133" i="1"/>
  <c r="H133" i="1"/>
  <c r="I99" i="1"/>
  <c r="G115" i="1"/>
  <c r="I115" i="1" s="1"/>
  <c r="E115" i="1"/>
  <c r="H88" i="1"/>
  <c r="I88" i="1"/>
  <c r="I152" i="1"/>
  <c r="H152" i="1"/>
  <c r="I146" i="1"/>
  <c r="H146" i="1"/>
  <c r="H142" i="1"/>
  <c r="I142" i="1"/>
  <c r="E153" i="1"/>
  <c r="G153" i="1"/>
  <c r="D153" i="1"/>
  <c r="H125" i="1"/>
  <c r="F110" i="1"/>
  <c r="H110" i="1" s="1"/>
  <c r="D110" i="1"/>
  <c r="H65" i="1"/>
  <c r="H118" i="1"/>
  <c r="I118" i="1"/>
  <c r="D90" i="1"/>
  <c r="F83" i="1"/>
  <c r="D83" i="1"/>
  <c r="I72" i="1"/>
  <c r="H72" i="1"/>
  <c r="H77" i="1"/>
  <c r="H61" i="1"/>
  <c r="H37" i="1"/>
  <c r="H9" i="1"/>
  <c r="D37" i="1"/>
  <c r="H66" i="1"/>
  <c r="H56" i="1"/>
  <c r="F29" i="1"/>
  <c r="H29" i="1" s="1"/>
  <c r="D29" i="1"/>
  <c r="I57" i="1"/>
  <c r="H90" i="1" l="1"/>
  <c r="H140" i="1"/>
  <c r="I83" i="1"/>
  <c r="I45" i="1"/>
  <c r="H45" i="1"/>
  <c r="H83" i="1"/>
  <c r="H115" i="1"/>
  <c r="I140" i="1"/>
  <c r="E154" i="1"/>
  <c r="G154" i="1"/>
  <c r="I154" i="1" s="1"/>
  <c r="I33" i="1"/>
  <c r="H33" i="1"/>
  <c r="C50" i="1"/>
  <c r="G49" i="1"/>
  <c r="I49" i="1" s="1"/>
  <c r="E49" i="1"/>
  <c r="H123" i="1"/>
  <c r="D49" i="1"/>
  <c r="B50" i="1"/>
  <c r="F49" i="1"/>
  <c r="H20" i="1"/>
  <c r="I153" i="1"/>
  <c r="H153" i="1"/>
  <c r="I110" i="1"/>
  <c r="I29" i="1"/>
  <c r="B155" i="1" l="1"/>
  <c r="D50" i="1"/>
  <c r="F50" i="1"/>
  <c r="C155" i="1"/>
  <c r="G50" i="1"/>
  <c r="E50" i="1"/>
  <c r="H154" i="1"/>
  <c r="H49" i="1"/>
  <c r="H50" i="1" l="1"/>
  <c r="E155" i="1"/>
  <c r="C156" i="1"/>
  <c r="G155" i="1"/>
  <c r="I50" i="1"/>
  <c r="B156" i="1"/>
  <c r="F155" i="1"/>
  <c r="D155" i="1"/>
  <c r="I155" i="1" l="1"/>
  <c r="E156" i="1"/>
  <c r="G156" i="1"/>
  <c r="H155" i="1"/>
  <c r="F156" i="1"/>
  <c r="H156" i="1" s="1"/>
  <c r="D156" i="1"/>
  <c r="I156" i="1" l="1"/>
</calcChain>
</file>

<file path=xl/sharedStrings.xml><?xml version="1.0" encoding="utf-8"?>
<sst xmlns="http://schemas.openxmlformats.org/spreadsheetml/2006/main" count="202" uniqueCount="193">
  <si>
    <t>Jul 2019</t>
  </si>
  <si>
    <t>Total</t>
  </si>
  <si>
    <t>Actual</t>
  </si>
  <si>
    <t>Budget</t>
  </si>
  <si>
    <t>over Budget</t>
  </si>
  <si>
    <t>% of Budget</t>
  </si>
  <si>
    <t>Income</t>
  </si>
  <si>
    <t xml:space="preserve">   Community Fundraising</t>
  </si>
  <si>
    <t xml:space="preserve">      Collecting Tins</t>
  </si>
  <si>
    <t xml:space="preserve">      Counselling Donations</t>
  </si>
  <si>
    <t xml:space="preserve">      Easy Fundraising</t>
  </si>
  <si>
    <t xml:space="preserve">      Gala Dinners Auction/Raffle</t>
  </si>
  <si>
    <t xml:space="preserve">      Gifts in Memorandum</t>
  </si>
  <si>
    <t xml:space="preserve">      Legacies/Gifts/Donations</t>
  </si>
  <si>
    <t xml:space="preserve">      Other Events/Activities</t>
  </si>
  <si>
    <t xml:space="preserve">      Reclaimed GASDS</t>
  </si>
  <si>
    <t xml:space="preserve">      Sitting Service Donations</t>
  </si>
  <si>
    <t xml:space="preserve">      Therapies</t>
  </si>
  <si>
    <t xml:space="preserve">      Ticket/Event Sales</t>
  </si>
  <si>
    <t xml:space="preserve">   Total Community Fundraising</t>
  </si>
  <si>
    <t xml:space="preserve">   Community Groups</t>
  </si>
  <si>
    <t xml:space="preserve">      Give Them a Break Campaign</t>
  </si>
  <si>
    <t xml:space="preserve">      Small Groups</t>
  </si>
  <si>
    <t xml:space="preserve">   Total Community Groups</t>
  </si>
  <si>
    <t xml:space="preserve">   Earned Income</t>
  </si>
  <si>
    <t xml:space="preserve">      Bank Interest</t>
  </si>
  <si>
    <t xml:space="preserve">      Merchandise</t>
  </si>
  <si>
    <t xml:space="preserve">      Social Work Placements</t>
  </si>
  <si>
    <t xml:space="preserve">   Total Earned Income</t>
  </si>
  <si>
    <t xml:space="preserve">   Private Sector (CSR)</t>
  </si>
  <si>
    <t xml:space="preserve">      Annual Sponsor</t>
  </si>
  <si>
    <t xml:space="preserve">      Gala Dinner Sponsorship</t>
  </si>
  <si>
    <t xml:space="preserve">   Total Private Sector (CSR)</t>
  </si>
  <si>
    <t xml:space="preserve">   Public Sector</t>
  </si>
  <si>
    <t xml:space="preserve">      CCC/CSC Contract</t>
  </si>
  <si>
    <t xml:space="preserve">      Employment Allowance</t>
  </si>
  <si>
    <t xml:space="preserve">   Total Public Sector</t>
  </si>
  <si>
    <t xml:space="preserve">   Restricted Income</t>
  </si>
  <si>
    <t xml:space="preserve">      CIN</t>
  </si>
  <si>
    <t xml:space="preserve">      Cumbria Community Foundation</t>
  </si>
  <si>
    <t xml:space="preserve">      Eric Wright Trust B/fwd</t>
  </si>
  <si>
    <t xml:space="preserve">      Frieda Scott B/fwd</t>
  </si>
  <si>
    <t xml:space="preserve">      Rank Foundation</t>
  </si>
  <si>
    <t xml:space="preserve">      WCEF</t>
  </si>
  <si>
    <t xml:space="preserve">   Total Restricted Income</t>
  </si>
  <si>
    <t xml:space="preserve">   Unrestricted Grants</t>
  </si>
  <si>
    <t xml:space="preserve">      Garfield Western Foundation</t>
  </si>
  <si>
    <t xml:space="preserve">   Total Unrestricted Grants</t>
  </si>
  <si>
    <t>Total Income</t>
  </si>
  <si>
    <t>Gross Profit</t>
  </si>
  <si>
    <t>Expenses</t>
  </si>
  <si>
    <t xml:space="preserve">   Audit &amp; Legal</t>
  </si>
  <si>
    <t xml:space="preserve">      Accounting Software QuickBooks</t>
  </si>
  <si>
    <t xml:space="preserve">      Annual Accounts</t>
  </si>
  <si>
    <t xml:space="preserve">      Bank charges</t>
  </si>
  <si>
    <t xml:space="preserve">      Companies House - Confirmation Statement</t>
  </si>
  <si>
    <t xml:space="preserve">      DBS Checks</t>
  </si>
  <si>
    <t xml:space="preserve">      HR</t>
  </si>
  <si>
    <t xml:space="preserve">      Licences - Lottery etc</t>
  </si>
  <si>
    <t xml:space="preserve">      Payroll</t>
  </si>
  <si>
    <t xml:space="preserve">   Total Audit &amp; Legal</t>
  </si>
  <si>
    <t xml:space="preserve">   Communications</t>
  </si>
  <si>
    <t xml:space="preserve">      Branding/Website</t>
  </si>
  <si>
    <t xml:space="preserve">      Printing Costs</t>
  </si>
  <si>
    <t xml:space="preserve">   Total Communications</t>
  </si>
  <si>
    <t xml:space="preserve">   Fundraising</t>
  </si>
  <si>
    <t xml:space="preserve">   Governance</t>
  </si>
  <si>
    <t xml:space="preserve">   Health and Safety</t>
  </si>
  <si>
    <t xml:space="preserve">   ICT</t>
  </si>
  <si>
    <t xml:space="preserve">      321 Backup</t>
  </si>
  <si>
    <t xml:space="preserve">      Charity Log</t>
  </si>
  <si>
    <t xml:space="preserve">      Drop Box</t>
  </si>
  <si>
    <t xml:space="preserve">      I Drive On-line Backup</t>
  </si>
  <si>
    <t xml:space="preserve">      ICO</t>
  </si>
  <si>
    <t xml:space="preserve">      IT Support (Stream)</t>
  </si>
  <si>
    <t xml:space="preserve">      Mobile Call Charges</t>
  </si>
  <si>
    <t xml:space="preserve">      Phone Line Calls</t>
  </si>
  <si>
    <t xml:space="preserve">      SGH Internet</t>
  </si>
  <si>
    <t xml:space="preserve">      Team Mobiles (Handsets)</t>
  </si>
  <si>
    <t xml:space="preserve">      Virtual Number</t>
  </si>
  <si>
    <t xml:space="preserve">      Website Host</t>
  </si>
  <si>
    <t xml:space="preserve">   Total ICT</t>
  </si>
  <si>
    <t xml:space="preserve">   Insurance</t>
  </si>
  <si>
    <t xml:space="preserve">   Membership</t>
  </si>
  <si>
    <t xml:space="preserve">      Membership - Carers Trust</t>
  </si>
  <si>
    <t xml:space="preserve">      Membership - Chamber of Commerce</t>
  </si>
  <si>
    <t xml:space="preserve">      Membership - CVS</t>
  </si>
  <si>
    <t xml:space="preserve">      Membership - NCVO</t>
  </si>
  <si>
    <t xml:space="preserve">   Total Membership</t>
  </si>
  <si>
    <t xml:space="preserve">   Office Costs</t>
  </si>
  <si>
    <t xml:space="preserve">      Copier Charges</t>
  </si>
  <si>
    <t xml:space="preserve">      Equipment</t>
  </si>
  <si>
    <t xml:space="preserve">      Franking Machine Rental &amp; Maintenance</t>
  </si>
  <si>
    <t xml:space="preserve">      Franking Machine Top Up</t>
  </si>
  <si>
    <t xml:space="preserve">      Miscellaneous Postage</t>
  </si>
  <si>
    <t xml:space="preserve">      Photocopier Lease</t>
  </si>
  <si>
    <t xml:space="preserve">      Refreshments</t>
  </si>
  <si>
    <t xml:space="preserve">      Stationery</t>
  </si>
  <si>
    <t xml:space="preserve">   Total Office Costs</t>
  </si>
  <si>
    <t xml:space="preserve">   Premises &amp; Cleaning</t>
  </si>
  <si>
    <t xml:space="preserve">      1-2-1 Room (Cleaning)</t>
  </si>
  <si>
    <t xml:space="preserve">      1-2-1 Room (Rent)</t>
  </si>
  <si>
    <t xml:space="preserve">      Counselling Room (Cleaning)</t>
  </si>
  <si>
    <t xml:space="preserve">      Counselling Room (Rent)</t>
  </si>
  <si>
    <t xml:space="preserve">      Main Office (Cleaning)</t>
  </si>
  <si>
    <t xml:space="preserve">      Main Office (Rent)</t>
  </si>
  <si>
    <t xml:space="preserve">      Management Office (Cleaning)</t>
  </si>
  <si>
    <t xml:space="preserve">      Management Office (Rent)</t>
  </si>
  <si>
    <t xml:space="preserve">   Total Premises &amp; Cleaning</t>
  </si>
  <si>
    <t xml:space="preserve">   Project Costs (Adult)</t>
  </si>
  <si>
    <t xml:space="preserve">      Forums</t>
  </si>
  <si>
    <t xml:space="preserve">      Group Counselling</t>
  </si>
  <si>
    <t xml:space="preserve">      Group Therapies</t>
  </si>
  <si>
    <t xml:space="preserve">   Total Project Costs (Adult)</t>
  </si>
  <si>
    <t xml:space="preserve">   Project Costs (YC)</t>
  </si>
  <si>
    <t xml:space="preserve">      CIN Activities</t>
  </si>
  <si>
    <t xml:space="preserve">      CIN Sessional Workers</t>
  </si>
  <si>
    <t xml:space="preserve">      CIN Training</t>
  </si>
  <si>
    <t xml:space="preserve">      CIN Travel</t>
  </si>
  <si>
    <t xml:space="preserve">      WECF Activities</t>
  </si>
  <si>
    <t xml:space="preserve">      WECF Travel</t>
  </si>
  <si>
    <t xml:space="preserve">   Total Project Costs (YC)</t>
  </si>
  <si>
    <t xml:space="preserve">   Staff Salaries &amp; Associated Costs</t>
  </si>
  <si>
    <t xml:space="preserve">      Administration Salaries</t>
  </si>
  <si>
    <t xml:space="preserve">      Carer Support Salaries</t>
  </si>
  <si>
    <t xml:space="preserve">      Employer National Insurance</t>
  </si>
  <si>
    <t xml:space="preserve">      Employer Pension</t>
  </si>
  <si>
    <t xml:space="preserve">      Fundraiser</t>
  </si>
  <si>
    <t xml:space="preserve">      Health Care</t>
  </si>
  <si>
    <t xml:space="preserve">      Lead Counsellor</t>
  </si>
  <si>
    <t xml:space="preserve">      Management Salaries</t>
  </si>
  <si>
    <t xml:space="preserve">      Management Travel</t>
  </si>
  <si>
    <t xml:space="preserve">      Recruitment</t>
  </si>
  <si>
    <t xml:space="preserve">      Sessional Workers</t>
  </si>
  <si>
    <t xml:space="preserve">      Sitting Service Salaries</t>
  </si>
  <si>
    <t xml:space="preserve">      Staff Travel</t>
  </si>
  <si>
    <t xml:space="preserve">      Student Placements</t>
  </si>
  <si>
    <t xml:space="preserve">      Young Carers Salaries</t>
  </si>
  <si>
    <t xml:space="preserve">   Total Staff Salaries &amp; Associated Costs</t>
  </si>
  <si>
    <t xml:space="preserve">   Sundry Expenses</t>
  </si>
  <si>
    <t xml:space="preserve">      Consultants</t>
  </si>
  <si>
    <t xml:space="preserve">      Networking/Events</t>
  </si>
  <si>
    <t xml:space="preserve">      Quality Makrs/Awards</t>
  </si>
  <si>
    <t xml:space="preserve">   Total Sundry Expenses</t>
  </si>
  <si>
    <t xml:space="preserve">   Training Costs</t>
  </si>
  <si>
    <t xml:space="preserve">   Volunteer costs</t>
  </si>
  <si>
    <t xml:space="preserve">      Sitting Service (Volunteer Travel)</t>
  </si>
  <si>
    <t xml:space="preserve">      Volunteer Counsellor Supervision</t>
  </si>
  <si>
    <t xml:space="preserve">      Volunteer Counsellor Travel</t>
  </si>
  <si>
    <t xml:space="preserve">      Volunteer Expenses</t>
  </si>
  <si>
    <t xml:space="preserve">      Volunteer Recognition</t>
  </si>
  <si>
    <t xml:space="preserve">   Total Volunteer costs</t>
  </si>
  <si>
    <t>Total Expenses</t>
  </si>
  <si>
    <t>Net Operating Income</t>
  </si>
  <si>
    <t>Net Income</t>
  </si>
  <si>
    <t>Tuesday, Aug 06, 2019 10:52:13 AM GMT+1 - Accrual Basis</t>
  </si>
  <si>
    <t>Carer Support South Lakes</t>
  </si>
  <si>
    <t xml:space="preserve">Budget vs. Actuals: Budget 2019-2020 - FY20 P&amp;L </t>
  </si>
  <si>
    <t>July 2019</t>
  </si>
  <si>
    <t>Comments</t>
  </si>
  <si>
    <t>Moved office so will create a monthly underspent</t>
  </si>
  <si>
    <t>Moved office so will create a monthly overspend</t>
  </si>
  <si>
    <t>now in December</t>
  </si>
  <si>
    <t>Gala Dinner sponsor not identified yet</t>
  </si>
  <si>
    <t>Now finished</t>
  </si>
  <si>
    <t>seems low</t>
  </si>
  <si>
    <t>A Positive Partnership</t>
  </si>
  <si>
    <t>Donations lower than anticipated , Letter have gone to all services user, this has generated a response. S/Co inform at inception of pkg that donations can be made and would be used directly to support Carers</t>
  </si>
  <si>
    <t xml:space="preserve">No income from therapies as we currently are not delivering. This is a longer term expectation </t>
  </si>
  <si>
    <t>No income this month, this income comes as a regular donation from church groups etc, agin a long term expectation</t>
  </si>
  <si>
    <t>£10,000 to be a journal for next financial year</t>
  </si>
  <si>
    <t>This is inflated due to the Garfield income</t>
  </si>
  <si>
    <t>Over budget due to increase need for printing this should not impact on year end</t>
  </si>
  <si>
    <t>530 from Paypal not sure what this expense is?</t>
  </si>
  <si>
    <t>No spend on Mobile top ups this will increase as mobile phones are purchased</t>
  </si>
  <si>
    <t>In budget for April. £11.00 pver budget.</t>
  </si>
  <si>
    <t>MC Access To Work - this will be repaid, will not impact on  Year end</t>
  </si>
  <si>
    <t>newsletters this will be a 1/4 expense. It should be placed under Franking Machine top up</t>
  </si>
  <si>
    <t>Overspend this month due to additional expense to make repairs on floor 3. This will not impact on year end as rent is currently running an underspend</t>
  </si>
  <si>
    <t>Not sure what this expense is</t>
  </si>
  <si>
    <t xml:space="preserve">£78 overspend on this year budget. </t>
  </si>
  <si>
    <t xml:space="preserve">Overspend on the budget, this will impact on year end. </t>
  </si>
  <si>
    <t>Overspend due to LPA salaries in actual vs Budget. This will need to have a journal made once LPA budget is set up</t>
  </si>
  <si>
    <t xml:space="preserve">DJ salary. This is spread over the year </t>
  </si>
  <si>
    <t>Over budget due to 2 invoices submitted this month. It is expected that once LPA expense has been reoved then there should be little impact on year end</t>
  </si>
  <si>
    <t>Late submission of Lead Counsellor invoice</t>
  </si>
  <si>
    <t>No travel expense this month. This will nbot impact on year end</t>
  </si>
  <si>
    <t>This line nees to be removed as session staff expense on line 135</t>
  </si>
  <si>
    <t xml:space="preserve">Underspend this month but expense will be used over the year. </t>
  </si>
  <si>
    <t>overspend due to increase in hours for worker, this will impact on year end figures</t>
  </si>
  <si>
    <t xml:space="preserve">there is expense in the year budget this needs to be shown in the total budget for the year. </t>
  </si>
  <si>
    <t>Additional payment made for life skills programme</t>
  </si>
  <si>
    <t>this espense will ncrease as numbers of counsellors increase. We are looking to recruit from Kendal area to reduce the impact of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</si>
</sst>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€"/>
    <numFmt numFmtId="165" formatCode="&quot;£&quot;* #,##0.00\ _€"/>
  </numFmts>
  <fonts count="8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topLeftCell="A148" workbookViewId="0">
      <selection activeCell="J150" sqref="J150"/>
    </sheetView>
  </sheetViews>
  <sheetFormatPr defaultRowHeight="15" x14ac:dyDescent="0.25"/>
  <cols>
    <col min="1" max="1" width="40.42578125" customWidth="1"/>
    <col min="2" max="2" width="9.42578125" customWidth="1"/>
    <col min="3" max="5" width="10.28515625" customWidth="1"/>
    <col min="6" max="6" width="9.42578125" customWidth="1"/>
    <col min="7" max="9" width="10.28515625" customWidth="1"/>
    <col min="10" max="10" width="29.5703125" style="10" customWidth="1"/>
  </cols>
  <sheetData>
    <row r="1" spans="1:10" ht="18" x14ac:dyDescent="0.25">
      <c r="A1" s="16" t="s">
        <v>156</v>
      </c>
      <c r="B1" s="15"/>
      <c r="C1" s="15"/>
      <c r="D1" s="15"/>
      <c r="E1" s="15"/>
      <c r="F1" s="15"/>
      <c r="G1" s="15"/>
      <c r="H1" s="15"/>
      <c r="I1" s="15"/>
    </row>
    <row r="2" spans="1:10" ht="18" x14ac:dyDescent="0.25">
      <c r="A2" s="16" t="s">
        <v>157</v>
      </c>
      <c r="B2" s="15"/>
      <c r="C2" s="15"/>
      <c r="D2" s="15"/>
      <c r="E2" s="15"/>
      <c r="F2" s="15"/>
      <c r="G2" s="15"/>
      <c r="H2" s="15"/>
      <c r="I2" s="15"/>
    </row>
    <row r="3" spans="1:10" x14ac:dyDescent="0.25">
      <c r="A3" s="17" t="s">
        <v>158</v>
      </c>
      <c r="B3" s="15"/>
      <c r="C3" s="15"/>
      <c r="D3" s="15"/>
      <c r="E3" s="15"/>
      <c r="F3" s="15"/>
      <c r="G3" s="15"/>
      <c r="H3" s="15"/>
      <c r="I3" s="15"/>
    </row>
    <row r="5" spans="1:10" ht="15.75" thickBot="1" x14ac:dyDescent="0.3">
      <c r="A5" s="1"/>
      <c r="B5" s="18" t="s">
        <v>0</v>
      </c>
      <c r="C5" s="13"/>
      <c r="D5" s="13"/>
      <c r="E5" s="13"/>
      <c r="F5" s="18" t="s">
        <v>1</v>
      </c>
      <c r="G5" s="13"/>
      <c r="H5" s="13"/>
      <c r="I5" s="13"/>
    </row>
    <row r="6" spans="1:10" ht="25.5" thickBot="1" x14ac:dyDescent="0.3">
      <c r="A6" s="19"/>
      <c r="B6" s="20" t="s">
        <v>2</v>
      </c>
      <c r="C6" s="20" t="s">
        <v>3</v>
      </c>
      <c r="D6" s="20" t="s">
        <v>4</v>
      </c>
      <c r="E6" s="20" t="s">
        <v>5</v>
      </c>
      <c r="F6" s="20" t="s">
        <v>2</v>
      </c>
      <c r="G6" s="20" t="s">
        <v>3</v>
      </c>
      <c r="H6" s="20" t="s">
        <v>4</v>
      </c>
      <c r="I6" s="20" t="s">
        <v>5</v>
      </c>
      <c r="J6" s="21" t="s">
        <v>159</v>
      </c>
    </row>
    <row r="7" spans="1:10" x14ac:dyDescent="0.25">
      <c r="A7" s="2" t="s">
        <v>6</v>
      </c>
      <c r="B7" s="3"/>
      <c r="C7" s="3"/>
      <c r="D7" s="3"/>
      <c r="E7" s="3"/>
      <c r="F7" s="3"/>
      <c r="G7" s="3"/>
      <c r="H7" s="3"/>
      <c r="I7" s="3"/>
    </row>
    <row r="8" spans="1:10" x14ac:dyDescent="0.25">
      <c r="A8" s="2" t="s">
        <v>7</v>
      </c>
      <c r="B8" s="3"/>
      <c r="C8" s="3"/>
      <c r="D8" s="4">
        <f t="shared" ref="D8:D50" si="0">(B8)-(C8)</f>
        <v>0</v>
      </c>
      <c r="E8" s="5" t="str">
        <f t="shared" ref="E8:E50" si="1">IF(C8=0,"",(B8)/(C8))</f>
        <v/>
      </c>
      <c r="F8" s="4">
        <f t="shared" ref="F8:F50" si="2">B8</f>
        <v>0</v>
      </c>
      <c r="G8" s="4">
        <f t="shared" ref="G8:G50" si="3">C8</f>
        <v>0</v>
      </c>
      <c r="H8" s="4">
        <f t="shared" ref="H8:H50" si="4">(F8)-(G8)</f>
        <v>0</v>
      </c>
      <c r="I8" s="5" t="str">
        <f t="shared" ref="I8:I50" si="5">IF(G8=0,"",(F8)/(G8))</f>
        <v/>
      </c>
    </row>
    <row r="9" spans="1:10" x14ac:dyDescent="0.25">
      <c r="A9" s="2" t="s">
        <v>8</v>
      </c>
      <c r="B9" s="3"/>
      <c r="C9" s="4">
        <f>150</f>
        <v>150</v>
      </c>
      <c r="D9" s="4">
        <f t="shared" si="0"/>
        <v>-150</v>
      </c>
      <c r="E9" s="5">
        <f t="shared" si="1"/>
        <v>0</v>
      </c>
      <c r="F9" s="4">
        <f t="shared" si="2"/>
        <v>0</v>
      </c>
      <c r="G9" s="4">
        <f t="shared" si="3"/>
        <v>150</v>
      </c>
      <c r="H9" s="4">
        <f t="shared" si="4"/>
        <v>-150</v>
      </c>
      <c r="I9" s="5">
        <f t="shared" si="5"/>
        <v>0</v>
      </c>
    </row>
    <row r="10" spans="1:10" x14ac:dyDescent="0.25">
      <c r="A10" s="2" t="s">
        <v>9</v>
      </c>
      <c r="B10" s="3"/>
      <c r="C10" s="4">
        <f>100</f>
        <v>100</v>
      </c>
      <c r="D10" s="4">
        <f t="shared" si="0"/>
        <v>-100</v>
      </c>
      <c r="E10" s="5">
        <f t="shared" si="1"/>
        <v>0</v>
      </c>
      <c r="F10" s="4">
        <f t="shared" si="2"/>
        <v>0</v>
      </c>
      <c r="G10" s="4">
        <f t="shared" si="3"/>
        <v>100</v>
      </c>
      <c r="H10" s="4">
        <f t="shared" si="4"/>
        <v>-100</v>
      </c>
      <c r="I10" s="5">
        <f t="shared" si="5"/>
        <v>0</v>
      </c>
    </row>
    <row r="11" spans="1:10" x14ac:dyDescent="0.25">
      <c r="A11" s="2" t="s">
        <v>10</v>
      </c>
      <c r="B11" s="3"/>
      <c r="C11" s="4">
        <f>25</f>
        <v>25</v>
      </c>
      <c r="D11" s="4">
        <f t="shared" si="0"/>
        <v>-25</v>
      </c>
      <c r="E11" s="5">
        <f t="shared" si="1"/>
        <v>0</v>
      </c>
      <c r="F11" s="4">
        <f t="shared" si="2"/>
        <v>0</v>
      </c>
      <c r="G11" s="4">
        <f t="shared" si="3"/>
        <v>25</v>
      </c>
      <c r="H11" s="4">
        <f t="shared" si="4"/>
        <v>-25</v>
      </c>
      <c r="I11" s="5">
        <f t="shared" si="5"/>
        <v>0</v>
      </c>
    </row>
    <row r="12" spans="1:10" x14ac:dyDescent="0.25">
      <c r="A12" s="2" t="s">
        <v>11</v>
      </c>
      <c r="B12" s="3"/>
      <c r="C12" s="4">
        <f>0</f>
        <v>0</v>
      </c>
      <c r="D12" s="4">
        <f t="shared" si="0"/>
        <v>0</v>
      </c>
      <c r="E12" s="5" t="str">
        <f t="shared" si="1"/>
        <v/>
      </c>
      <c r="F12" s="4">
        <f t="shared" si="2"/>
        <v>0</v>
      </c>
      <c r="G12" s="4">
        <f t="shared" si="3"/>
        <v>0</v>
      </c>
      <c r="H12" s="4">
        <f t="shared" si="4"/>
        <v>0</v>
      </c>
      <c r="I12" s="5" t="str">
        <f t="shared" si="5"/>
        <v/>
      </c>
    </row>
    <row r="13" spans="1:10" x14ac:dyDescent="0.25">
      <c r="A13" s="2" t="s">
        <v>12</v>
      </c>
      <c r="B13" s="3"/>
      <c r="C13" s="4">
        <f>100</f>
        <v>100</v>
      </c>
      <c r="D13" s="4">
        <f t="shared" si="0"/>
        <v>-100</v>
      </c>
      <c r="E13" s="5">
        <f t="shared" si="1"/>
        <v>0</v>
      </c>
      <c r="F13" s="4">
        <f t="shared" si="2"/>
        <v>0</v>
      </c>
      <c r="G13" s="4">
        <f t="shared" si="3"/>
        <v>100</v>
      </c>
      <c r="H13" s="4">
        <f t="shared" si="4"/>
        <v>-100</v>
      </c>
      <c r="I13" s="5">
        <f t="shared" si="5"/>
        <v>0</v>
      </c>
    </row>
    <row r="14" spans="1:10" x14ac:dyDescent="0.25">
      <c r="A14" s="2" t="s">
        <v>13</v>
      </c>
      <c r="B14" s="4">
        <f>749.9</f>
        <v>749.9</v>
      </c>
      <c r="C14" s="3"/>
      <c r="D14" s="4">
        <f t="shared" si="0"/>
        <v>749.9</v>
      </c>
      <c r="E14" s="5" t="str">
        <f t="shared" si="1"/>
        <v/>
      </c>
      <c r="F14" s="4">
        <f t="shared" si="2"/>
        <v>749.9</v>
      </c>
      <c r="G14" s="4">
        <f t="shared" si="3"/>
        <v>0</v>
      </c>
      <c r="H14" s="4">
        <f t="shared" si="4"/>
        <v>749.9</v>
      </c>
      <c r="I14" s="5" t="str">
        <f t="shared" si="5"/>
        <v/>
      </c>
    </row>
    <row r="15" spans="1:10" x14ac:dyDescent="0.25">
      <c r="A15" s="2" t="s">
        <v>14</v>
      </c>
      <c r="B15" s="4">
        <f>1651.31</f>
        <v>1651.31</v>
      </c>
      <c r="C15" s="4">
        <f>0</f>
        <v>0</v>
      </c>
      <c r="D15" s="4">
        <f t="shared" si="0"/>
        <v>1651.31</v>
      </c>
      <c r="E15" s="5" t="str">
        <f t="shared" si="1"/>
        <v/>
      </c>
      <c r="F15" s="4">
        <f t="shared" si="2"/>
        <v>1651.31</v>
      </c>
      <c r="G15" s="4">
        <f t="shared" si="3"/>
        <v>0</v>
      </c>
      <c r="H15" s="4">
        <f t="shared" si="4"/>
        <v>1651.31</v>
      </c>
      <c r="I15" s="5" t="str">
        <f t="shared" si="5"/>
        <v/>
      </c>
    </row>
    <row r="16" spans="1:10" x14ac:dyDescent="0.25">
      <c r="A16" s="2" t="s">
        <v>15</v>
      </c>
      <c r="B16" s="4">
        <f>1186.24</f>
        <v>1186.24</v>
      </c>
      <c r="C16" s="4">
        <f>0</f>
        <v>0</v>
      </c>
      <c r="D16" s="4">
        <f t="shared" si="0"/>
        <v>1186.24</v>
      </c>
      <c r="E16" s="5" t="str">
        <f t="shared" si="1"/>
        <v/>
      </c>
      <c r="F16" s="4">
        <f t="shared" si="2"/>
        <v>1186.24</v>
      </c>
      <c r="G16" s="4">
        <f t="shared" si="3"/>
        <v>0</v>
      </c>
      <c r="H16" s="4">
        <f t="shared" si="4"/>
        <v>1186.24</v>
      </c>
      <c r="I16" s="5" t="str">
        <f t="shared" si="5"/>
        <v/>
      </c>
    </row>
    <row r="17" spans="1:10" ht="84.75" x14ac:dyDescent="0.25">
      <c r="A17" s="2" t="s">
        <v>16</v>
      </c>
      <c r="B17" s="3"/>
      <c r="C17" s="4">
        <f>165</f>
        <v>165</v>
      </c>
      <c r="D17" s="4">
        <f t="shared" si="0"/>
        <v>-165</v>
      </c>
      <c r="E17" s="5">
        <f t="shared" si="1"/>
        <v>0</v>
      </c>
      <c r="F17" s="4">
        <f t="shared" si="2"/>
        <v>0</v>
      </c>
      <c r="G17" s="4">
        <f t="shared" si="3"/>
        <v>165</v>
      </c>
      <c r="H17" s="4">
        <f t="shared" si="4"/>
        <v>-165</v>
      </c>
      <c r="I17" s="5">
        <f t="shared" si="5"/>
        <v>0</v>
      </c>
      <c r="J17" s="22" t="s">
        <v>167</v>
      </c>
    </row>
    <row r="18" spans="1:10" ht="36.75" x14ac:dyDescent="0.25">
      <c r="A18" s="2" t="s">
        <v>17</v>
      </c>
      <c r="B18" s="3"/>
      <c r="C18" s="4">
        <f>240</f>
        <v>240</v>
      </c>
      <c r="D18" s="4">
        <f t="shared" si="0"/>
        <v>-240</v>
      </c>
      <c r="E18" s="5">
        <f t="shared" si="1"/>
        <v>0</v>
      </c>
      <c r="F18" s="4">
        <f t="shared" si="2"/>
        <v>0</v>
      </c>
      <c r="G18" s="4">
        <f t="shared" si="3"/>
        <v>240</v>
      </c>
      <c r="H18" s="4">
        <f t="shared" si="4"/>
        <v>-240</v>
      </c>
      <c r="I18" s="5">
        <f t="shared" si="5"/>
        <v>0</v>
      </c>
      <c r="J18" s="22" t="s">
        <v>168</v>
      </c>
    </row>
    <row r="19" spans="1:10" x14ac:dyDescent="0.25">
      <c r="A19" s="2" t="s">
        <v>18</v>
      </c>
      <c r="B19" s="3"/>
      <c r="C19" s="4">
        <f>1462.5</f>
        <v>1462.5</v>
      </c>
      <c r="D19" s="4">
        <f t="shared" si="0"/>
        <v>-1462.5</v>
      </c>
      <c r="E19" s="5">
        <f t="shared" si="1"/>
        <v>0</v>
      </c>
      <c r="F19" s="4">
        <f t="shared" si="2"/>
        <v>0</v>
      </c>
      <c r="G19" s="4">
        <f t="shared" si="3"/>
        <v>1462.5</v>
      </c>
      <c r="H19" s="4">
        <f t="shared" si="4"/>
        <v>-1462.5</v>
      </c>
      <c r="I19" s="5">
        <f t="shared" si="5"/>
        <v>0</v>
      </c>
    </row>
    <row r="20" spans="1:10" x14ac:dyDescent="0.25">
      <c r="A20" s="2" t="s">
        <v>19</v>
      </c>
      <c r="B20" s="6">
        <f>(((((((((((B8)+(B9))+(B10))+(B11))+(B12))+(B13))+(B14))+(B15))+(B16))+(B17))+(B18))+(B19)</f>
        <v>3587.45</v>
      </c>
      <c r="C20" s="6">
        <f>(((((((((((C8)+(C9))+(C10))+(C11))+(C12))+(C13))+(C14))+(C15))+(C16))+(C17))+(C18))+(C19)</f>
        <v>2242.5</v>
      </c>
      <c r="D20" s="6">
        <f t="shared" si="0"/>
        <v>1344.9499999999998</v>
      </c>
      <c r="E20" s="7">
        <f t="shared" si="1"/>
        <v>1.5997547380156074</v>
      </c>
      <c r="F20" s="6">
        <f t="shared" si="2"/>
        <v>3587.45</v>
      </c>
      <c r="G20" s="6">
        <f t="shared" si="3"/>
        <v>2242.5</v>
      </c>
      <c r="H20" s="6">
        <f t="shared" si="4"/>
        <v>1344.9499999999998</v>
      </c>
      <c r="I20" s="7">
        <f t="shared" si="5"/>
        <v>1.5997547380156074</v>
      </c>
    </row>
    <row r="21" spans="1:10" x14ac:dyDescent="0.25">
      <c r="A21" s="2" t="s">
        <v>20</v>
      </c>
      <c r="B21" s="3"/>
      <c r="C21" s="4">
        <f>175</f>
        <v>175</v>
      </c>
      <c r="D21" s="4">
        <f t="shared" si="0"/>
        <v>-175</v>
      </c>
      <c r="E21" s="5">
        <f t="shared" si="1"/>
        <v>0</v>
      </c>
      <c r="F21" s="4">
        <f t="shared" si="2"/>
        <v>0</v>
      </c>
      <c r="G21" s="4">
        <f t="shared" si="3"/>
        <v>175</v>
      </c>
      <c r="H21" s="4">
        <f t="shared" si="4"/>
        <v>-175</v>
      </c>
      <c r="I21" s="5">
        <f t="shared" si="5"/>
        <v>0</v>
      </c>
    </row>
    <row r="22" spans="1:10" x14ac:dyDescent="0.25">
      <c r="A22" s="2" t="s">
        <v>21</v>
      </c>
      <c r="B22" s="4">
        <f>300</f>
        <v>300</v>
      </c>
      <c r="C22" s="4">
        <f>300</f>
        <v>300</v>
      </c>
      <c r="D22" s="4">
        <f t="shared" si="0"/>
        <v>0</v>
      </c>
      <c r="E22" s="5">
        <f t="shared" si="1"/>
        <v>1</v>
      </c>
      <c r="F22" s="4">
        <f t="shared" si="2"/>
        <v>300</v>
      </c>
      <c r="G22" s="4">
        <f t="shared" si="3"/>
        <v>300</v>
      </c>
      <c r="H22" s="4">
        <f t="shared" si="4"/>
        <v>0</v>
      </c>
      <c r="I22" s="5">
        <f t="shared" si="5"/>
        <v>1</v>
      </c>
    </row>
    <row r="23" spans="1:10" ht="48.75" x14ac:dyDescent="0.25">
      <c r="A23" s="2" t="s">
        <v>22</v>
      </c>
      <c r="B23" s="3"/>
      <c r="C23" s="4">
        <f>100</f>
        <v>100</v>
      </c>
      <c r="D23" s="4">
        <f t="shared" si="0"/>
        <v>-100</v>
      </c>
      <c r="E23" s="5">
        <f t="shared" si="1"/>
        <v>0</v>
      </c>
      <c r="F23" s="4">
        <f t="shared" si="2"/>
        <v>0</v>
      </c>
      <c r="G23" s="4">
        <f t="shared" si="3"/>
        <v>100</v>
      </c>
      <c r="H23" s="4">
        <f t="shared" si="4"/>
        <v>-100</v>
      </c>
      <c r="I23" s="5">
        <f t="shared" si="5"/>
        <v>0</v>
      </c>
      <c r="J23" s="23" t="s">
        <v>169</v>
      </c>
    </row>
    <row r="24" spans="1:10" x14ac:dyDescent="0.25">
      <c r="A24" s="2" t="s">
        <v>23</v>
      </c>
      <c r="B24" s="6">
        <f>((B21)+(B22))+(B23)</f>
        <v>300</v>
      </c>
      <c r="C24" s="6">
        <f>((C21)+(C22))+(C23)</f>
        <v>575</v>
      </c>
      <c r="D24" s="6">
        <f t="shared" si="0"/>
        <v>-275</v>
      </c>
      <c r="E24" s="7">
        <f t="shared" si="1"/>
        <v>0.52173913043478259</v>
      </c>
      <c r="F24" s="6">
        <f t="shared" si="2"/>
        <v>300</v>
      </c>
      <c r="G24" s="6">
        <f t="shared" si="3"/>
        <v>575</v>
      </c>
      <c r="H24" s="6">
        <f t="shared" si="4"/>
        <v>-275</v>
      </c>
      <c r="I24" s="7">
        <f t="shared" si="5"/>
        <v>0.52173913043478259</v>
      </c>
    </row>
    <row r="25" spans="1:10" x14ac:dyDescent="0.25">
      <c r="A25" s="2" t="s">
        <v>24</v>
      </c>
      <c r="B25" s="3"/>
      <c r="C25" s="3"/>
      <c r="D25" s="4">
        <f t="shared" si="0"/>
        <v>0</v>
      </c>
      <c r="E25" s="5" t="str">
        <f t="shared" si="1"/>
        <v/>
      </c>
      <c r="F25" s="4">
        <f t="shared" si="2"/>
        <v>0</v>
      </c>
      <c r="G25" s="4">
        <f t="shared" si="3"/>
        <v>0</v>
      </c>
      <c r="H25" s="4">
        <f t="shared" si="4"/>
        <v>0</v>
      </c>
      <c r="I25" s="5" t="str">
        <f t="shared" si="5"/>
        <v/>
      </c>
    </row>
    <row r="26" spans="1:10" x14ac:dyDescent="0.25">
      <c r="A26" s="2" t="s">
        <v>25</v>
      </c>
      <c r="B26" s="3"/>
      <c r="C26" s="4">
        <f>0</f>
        <v>0</v>
      </c>
      <c r="D26" s="4">
        <f t="shared" si="0"/>
        <v>0</v>
      </c>
      <c r="E26" s="5" t="str">
        <f t="shared" si="1"/>
        <v/>
      </c>
      <c r="F26" s="4">
        <f t="shared" si="2"/>
        <v>0</v>
      </c>
      <c r="G26" s="4">
        <f t="shared" si="3"/>
        <v>0</v>
      </c>
      <c r="H26" s="4">
        <f t="shared" si="4"/>
        <v>0</v>
      </c>
      <c r="I26" s="5" t="str">
        <f t="shared" si="5"/>
        <v/>
      </c>
    </row>
    <row r="27" spans="1:10" x14ac:dyDescent="0.25">
      <c r="A27" s="2" t="s">
        <v>26</v>
      </c>
      <c r="B27" s="4">
        <f>0.9</f>
        <v>0.9</v>
      </c>
      <c r="C27" s="4">
        <f>100</f>
        <v>100</v>
      </c>
      <c r="D27" s="4">
        <f t="shared" si="0"/>
        <v>-99.1</v>
      </c>
      <c r="E27" s="5">
        <f t="shared" si="1"/>
        <v>9.0000000000000011E-3</v>
      </c>
      <c r="F27" s="4">
        <f t="shared" si="2"/>
        <v>0.9</v>
      </c>
      <c r="G27" s="4">
        <f t="shared" si="3"/>
        <v>100</v>
      </c>
      <c r="H27" s="4">
        <f t="shared" si="4"/>
        <v>-99.1</v>
      </c>
      <c r="I27" s="5">
        <f t="shared" si="5"/>
        <v>9.0000000000000011E-3</v>
      </c>
    </row>
    <row r="28" spans="1:10" x14ac:dyDescent="0.25">
      <c r="A28" s="2" t="s">
        <v>27</v>
      </c>
      <c r="B28" s="3"/>
      <c r="C28" s="4">
        <f>1400</f>
        <v>1400</v>
      </c>
      <c r="D28" s="4">
        <f t="shared" si="0"/>
        <v>-1400</v>
      </c>
      <c r="E28" s="5">
        <f t="shared" si="1"/>
        <v>0</v>
      </c>
      <c r="F28" s="4">
        <f t="shared" si="2"/>
        <v>0</v>
      </c>
      <c r="G28" s="4">
        <f t="shared" si="3"/>
        <v>1400</v>
      </c>
      <c r="H28" s="4">
        <f t="shared" si="4"/>
        <v>-1400</v>
      </c>
      <c r="I28" s="5">
        <f t="shared" si="5"/>
        <v>0</v>
      </c>
    </row>
    <row r="29" spans="1:10" x14ac:dyDescent="0.25">
      <c r="A29" s="2" t="s">
        <v>28</v>
      </c>
      <c r="B29" s="6">
        <f>(((B25)+(B26))+(B27))+(B28)</f>
        <v>0.9</v>
      </c>
      <c r="C29" s="6">
        <f>(((C25)+(C26))+(C27))+(C28)</f>
        <v>1500</v>
      </c>
      <c r="D29" s="6">
        <f t="shared" si="0"/>
        <v>-1499.1</v>
      </c>
      <c r="E29" s="7">
        <f t="shared" si="1"/>
        <v>6.0000000000000006E-4</v>
      </c>
      <c r="F29" s="6">
        <f t="shared" si="2"/>
        <v>0.9</v>
      </c>
      <c r="G29" s="6">
        <f t="shared" si="3"/>
        <v>1500</v>
      </c>
      <c r="H29" s="6">
        <f t="shared" si="4"/>
        <v>-1499.1</v>
      </c>
      <c r="I29" s="7">
        <f t="shared" si="5"/>
        <v>6.0000000000000006E-4</v>
      </c>
    </row>
    <row r="30" spans="1:10" x14ac:dyDescent="0.25">
      <c r="A30" s="2" t="s">
        <v>29</v>
      </c>
      <c r="B30" s="12"/>
      <c r="C30" s="3"/>
      <c r="D30" s="4">
        <f t="shared" si="0"/>
        <v>0</v>
      </c>
      <c r="E30" s="5" t="str">
        <f t="shared" si="1"/>
        <v/>
      </c>
      <c r="F30" s="4">
        <f t="shared" si="2"/>
        <v>0</v>
      </c>
      <c r="G30" s="4">
        <f t="shared" si="3"/>
        <v>0</v>
      </c>
      <c r="H30" s="4">
        <f t="shared" si="4"/>
        <v>0</v>
      </c>
      <c r="I30" s="5" t="str">
        <f t="shared" si="5"/>
        <v/>
      </c>
      <c r="J30" s="10" t="s">
        <v>162</v>
      </c>
    </row>
    <row r="31" spans="1:10" ht="30" x14ac:dyDescent="0.25">
      <c r="A31" s="2" t="s">
        <v>30</v>
      </c>
      <c r="B31" s="12"/>
      <c r="C31" s="4">
        <f>0</f>
        <v>0</v>
      </c>
      <c r="D31" s="4">
        <f t="shared" si="0"/>
        <v>0</v>
      </c>
      <c r="E31" s="5" t="str">
        <f t="shared" si="1"/>
        <v/>
      </c>
      <c r="F31" s="4">
        <f t="shared" si="2"/>
        <v>0</v>
      </c>
      <c r="G31" s="4">
        <f t="shared" si="3"/>
        <v>0</v>
      </c>
      <c r="H31" s="4">
        <f t="shared" si="4"/>
        <v>0</v>
      </c>
      <c r="I31" s="5" t="str">
        <f t="shared" si="5"/>
        <v/>
      </c>
      <c r="J31" s="10" t="s">
        <v>163</v>
      </c>
    </row>
    <row r="32" spans="1:10" x14ac:dyDescent="0.25">
      <c r="A32" s="2" t="s">
        <v>31</v>
      </c>
      <c r="B32" s="3"/>
      <c r="C32" s="4">
        <f>0</f>
        <v>0</v>
      </c>
      <c r="D32" s="4">
        <f t="shared" si="0"/>
        <v>0</v>
      </c>
      <c r="E32" s="5" t="str">
        <f t="shared" si="1"/>
        <v/>
      </c>
      <c r="F32" s="4">
        <f t="shared" si="2"/>
        <v>0</v>
      </c>
      <c r="G32" s="4">
        <f t="shared" si="3"/>
        <v>0</v>
      </c>
      <c r="H32" s="4">
        <f t="shared" si="4"/>
        <v>0</v>
      </c>
      <c r="I32" s="5" t="str">
        <f t="shared" si="5"/>
        <v/>
      </c>
    </row>
    <row r="33" spans="1:10" x14ac:dyDescent="0.25">
      <c r="A33" s="2" t="s">
        <v>32</v>
      </c>
      <c r="B33" s="6">
        <f>((B30)+(B31))+(B32)</f>
        <v>0</v>
      </c>
      <c r="C33" s="6">
        <f>((C30)+(C31))+(C32)</f>
        <v>0</v>
      </c>
      <c r="D33" s="6">
        <f t="shared" si="0"/>
        <v>0</v>
      </c>
      <c r="E33" s="7" t="str">
        <f t="shared" si="1"/>
        <v/>
      </c>
      <c r="F33" s="6">
        <f t="shared" si="2"/>
        <v>0</v>
      </c>
      <c r="G33" s="6">
        <f t="shared" si="3"/>
        <v>0</v>
      </c>
      <c r="H33" s="6">
        <f t="shared" si="4"/>
        <v>0</v>
      </c>
      <c r="I33" s="7" t="str">
        <f t="shared" si="5"/>
        <v/>
      </c>
    </row>
    <row r="34" spans="1:10" x14ac:dyDescent="0.25">
      <c r="A34" s="2" t="s">
        <v>33</v>
      </c>
      <c r="B34" s="3"/>
      <c r="C34" s="3"/>
      <c r="D34" s="4">
        <f t="shared" si="0"/>
        <v>0</v>
      </c>
      <c r="E34" s="5" t="str">
        <f t="shared" si="1"/>
        <v/>
      </c>
      <c r="F34" s="4">
        <f t="shared" si="2"/>
        <v>0</v>
      </c>
      <c r="G34" s="4">
        <f t="shared" si="3"/>
        <v>0</v>
      </c>
      <c r="H34" s="4">
        <f t="shared" si="4"/>
        <v>0</v>
      </c>
      <c r="I34" s="5" t="str">
        <f t="shared" si="5"/>
        <v/>
      </c>
    </row>
    <row r="35" spans="1:10" x14ac:dyDescent="0.25">
      <c r="A35" s="2" t="s">
        <v>34</v>
      </c>
      <c r="B35" s="4">
        <f>18222</f>
        <v>18222</v>
      </c>
      <c r="C35" s="4">
        <f>18222</f>
        <v>18222</v>
      </c>
      <c r="D35" s="4">
        <f t="shared" si="0"/>
        <v>0</v>
      </c>
      <c r="E35" s="5">
        <f t="shared" si="1"/>
        <v>1</v>
      </c>
      <c r="F35" s="4">
        <f t="shared" si="2"/>
        <v>18222</v>
      </c>
      <c r="G35" s="4">
        <f t="shared" si="3"/>
        <v>18222</v>
      </c>
      <c r="H35" s="4">
        <f t="shared" si="4"/>
        <v>0</v>
      </c>
      <c r="I35" s="5">
        <f t="shared" si="5"/>
        <v>1</v>
      </c>
    </row>
    <row r="36" spans="1:10" x14ac:dyDescent="0.25">
      <c r="A36" s="2" t="s">
        <v>35</v>
      </c>
      <c r="B36" s="3"/>
      <c r="C36" s="4">
        <f>250</f>
        <v>250</v>
      </c>
      <c r="D36" s="4">
        <f t="shared" si="0"/>
        <v>-250</v>
      </c>
      <c r="E36" s="5">
        <f t="shared" si="1"/>
        <v>0</v>
      </c>
      <c r="F36" s="4">
        <f t="shared" si="2"/>
        <v>0</v>
      </c>
      <c r="G36" s="4">
        <f t="shared" si="3"/>
        <v>250</v>
      </c>
      <c r="H36" s="4">
        <f t="shared" si="4"/>
        <v>-250</v>
      </c>
      <c r="I36" s="5">
        <f t="shared" si="5"/>
        <v>0</v>
      </c>
    </row>
    <row r="37" spans="1:10" x14ac:dyDescent="0.25">
      <c r="A37" s="2" t="s">
        <v>36</v>
      </c>
      <c r="B37" s="6">
        <f>((B34)+(B35))+(B36)</f>
        <v>18222</v>
      </c>
      <c r="C37" s="6">
        <f>((C34)+(C35))+(C36)</f>
        <v>18472</v>
      </c>
      <c r="D37" s="6">
        <f t="shared" si="0"/>
        <v>-250</v>
      </c>
      <c r="E37" s="7">
        <f t="shared" si="1"/>
        <v>0.98646600259852746</v>
      </c>
      <c r="F37" s="6">
        <f t="shared" si="2"/>
        <v>18222</v>
      </c>
      <c r="G37" s="6">
        <f t="shared" si="3"/>
        <v>18472</v>
      </c>
      <c r="H37" s="6">
        <f t="shared" si="4"/>
        <v>-250</v>
      </c>
      <c r="I37" s="7">
        <f t="shared" si="5"/>
        <v>0.98646600259852746</v>
      </c>
    </row>
    <row r="38" spans="1:10" x14ac:dyDescent="0.25">
      <c r="A38" s="2" t="s">
        <v>37</v>
      </c>
      <c r="B38" s="3"/>
      <c r="C38" s="3"/>
      <c r="D38" s="4">
        <f t="shared" si="0"/>
        <v>0</v>
      </c>
      <c r="E38" s="5" t="str">
        <f t="shared" si="1"/>
        <v/>
      </c>
      <c r="F38" s="4">
        <f t="shared" si="2"/>
        <v>0</v>
      </c>
      <c r="G38" s="4">
        <f t="shared" si="3"/>
        <v>0</v>
      </c>
      <c r="H38" s="4">
        <f t="shared" si="4"/>
        <v>0</v>
      </c>
      <c r="I38" s="5" t="str">
        <f t="shared" si="5"/>
        <v/>
      </c>
    </row>
    <row r="39" spans="1:10" x14ac:dyDescent="0.25">
      <c r="A39" s="2" t="s">
        <v>38</v>
      </c>
      <c r="B39" s="3"/>
      <c r="C39" s="4">
        <f>0</f>
        <v>0</v>
      </c>
      <c r="D39" s="4">
        <f t="shared" si="0"/>
        <v>0</v>
      </c>
      <c r="E39" s="5" t="str">
        <f t="shared" si="1"/>
        <v/>
      </c>
      <c r="F39" s="4">
        <f t="shared" si="2"/>
        <v>0</v>
      </c>
      <c r="G39" s="4">
        <f t="shared" si="3"/>
        <v>0</v>
      </c>
      <c r="H39" s="4">
        <f t="shared" si="4"/>
        <v>0</v>
      </c>
      <c r="I39" s="5" t="str">
        <f t="shared" si="5"/>
        <v/>
      </c>
    </row>
    <row r="40" spans="1:10" x14ac:dyDescent="0.25">
      <c r="A40" s="2" t="s">
        <v>39</v>
      </c>
      <c r="B40" s="3"/>
      <c r="C40" s="4">
        <f>0</f>
        <v>0</v>
      </c>
      <c r="D40" s="4">
        <f t="shared" si="0"/>
        <v>0</v>
      </c>
      <c r="E40" s="5" t="str">
        <f t="shared" si="1"/>
        <v/>
      </c>
      <c r="F40" s="4">
        <f t="shared" si="2"/>
        <v>0</v>
      </c>
      <c r="G40" s="4">
        <f t="shared" si="3"/>
        <v>0</v>
      </c>
      <c r="H40" s="4">
        <f t="shared" si="4"/>
        <v>0</v>
      </c>
      <c r="I40" s="5" t="str">
        <f t="shared" si="5"/>
        <v/>
      </c>
    </row>
    <row r="41" spans="1:10" x14ac:dyDescent="0.25">
      <c r="A41" s="2" t="s">
        <v>40</v>
      </c>
      <c r="B41" s="3"/>
      <c r="C41" s="4">
        <f>0</f>
        <v>0</v>
      </c>
      <c r="D41" s="4">
        <f t="shared" si="0"/>
        <v>0</v>
      </c>
      <c r="E41" s="5" t="str">
        <f t="shared" si="1"/>
        <v/>
      </c>
      <c r="F41" s="4">
        <f t="shared" si="2"/>
        <v>0</v>
      </c>
      <c r="G41" s="4">
        <f t="shared" si="3"/>
        <v>0</v>
      </c>
      <c r="H41" s="4">
        <f t="shared" si="4"/>
        <v>0</v>
      </c>
      <c r="I41" s="5" t="str">
        <f t="shared" si="5"/>
        <v/>
      </c>
    </row>
    <row r="42" spans="1:10" x14ac:dyDescent="0.25">
      <c r="A42" s="2" t="s">
        <v>41</v>
      </c>
      <c r="B42" s="3"/>
      <c r="C42" s="4">
        <f>0</f>
        <v>0</v>
      </c>
      <c r="D42" s="4">
        <f t="shared" si="0"/>
        <v>0</v>
      </c>
      <c r="E42" s="5" t="str">
        <f t="shared" si="1"/>
        <v/>
      </c>
      <c r="F42" s="4">
        <f t="shared" si="2"/>
        <v>0</v>
      </c>
      <c r="G42" s="4">
        <f t="shared" si="3"/>
        <v>0</v>
      </c>
      <c r="H42" s="4">
        <f t="shared" si="4"/>
        <v>0</v>
      </c>
      <c r="I42" s="5" t="str">
        <f t="shared" si="5"/>
        <v/>
      </c>
    </row>
    <row r="43" spans="1:10" x14ac:dyDescent="0.25">
      <c r="A43" s="2" t="s">
        <v>42</v>
      </c>
      <c r="B43" s="4">
        <f>750</f>
        <v>750</v>
      </c>
      <c r="C43" s="3"/>
      <c r="D43" s="4">
        <f t="shared" si="0"/>
        <v>750</v>
      </c>
      <c r="E43" s="5" t="str">
        <f t="shared" si="1"/>
        <v/>
      </c>
      <c r="F43" s="4">
        <f t="shared" si="2"/>
        <v>750</v>
      </c>
      <c r="G43" s="4">
        <f t="shared" si="3"/>
        <v>0</v>
      </c>
      <c r="H43" s="4">
        <f t="shared" si="4"/>
        <v>750</v>
      </c>
      <c r="I43" s="5" t="str">
        <f t="shared" si="5"/>
        <v/>
      </c>
    </row>
    <row r="44" spans="1:10" x14ac:dyDescent="0.25">
      <c r="A44" s="2" t="s">
        <v>43</v>
      </c>
      <c r="B44" s="3"/>
      <c r="C44" s="4">
        <f>0</f>
        <v>0</v>
      </c>
      <c r="D44" s="4">
        <f t="shared" si="0"/>
        <v>0</v>
      </c>
      <c r="E44" s="5" t="str">
        <f t="shared" si="1"/>
        <v/>
      </c>
      <c r="F44" s="4">
        <f t="shared" si="2"/>
        <v>0</v>
      </c>
      <c r="G44" s="4">
        <f t="shared" si="3"/>
        <v>0</v>
      </c>
      <c r="H44" s="4">
        <f t="shared" si="4"/>
        <v>0</v>
      </c>
      <c r="I44" s="5" t="str">
        <f t="shared" si="5"/>
        <v/>
      </c>
      <c r="J44" s="10" t="s">
        <v>164</v>
      </c>
    </row>
    <row r="45" spans="1:10" x14ac:dyDescent="0.25">
      <c r="A45" s="2" t="s">
        <v>44</v>
      </c>
      <c r="B45" s="6">
        <f>((((((B38)+(B39))+(B40))+(B41))+(B42))+(B43))+(B44)</f>
        <v>750</v>
      </c>
      <c r="C45" s="6">
        <f>((((((C38)+(C39))+(C40))+(C41))+(C42))+(C43))+(C44)</f>
        <v>0</v>
      </c>
      <c r="D45" s="6">
        <f t="shared" si="0"/>
        <v>750</v>
      </c>
      <c r="E45" s="7" t="str">
        <f t="shared" si="1"/>
        <v/>
      </c>
      <c r="F45" s="6">
        <f t="shared" si="2"/>
        <v>750</v>
      </c>
      <c r="G45" s="6">
        <f t="shared" si="3"/>
        <v>0</v>
      </c>
      <c r="H45" s="6">
        <f t="shared" si="4"/>
        <v>750</v>
      </c>
      <c r="I45" s="7" t="str">
        <f t="shared" si="5"/>
        <v/>
      </c>
    </row>
    <row r="46" spans="1:10" x14ac:dyDescent="0.25">
      <c r="A46" s="2" t="s">
        <v>45</v>
      </c>
      <c r="B46" s="3"/>
      <c r="C46" s="3"/>
      <c r="D46" s="4">
        <f t="shared" si="0"/>
        <v>0</v>
      </c>
      <c r="E46" s="5" t="str">
        <f t="shared" si="1"/>
        <v/>
      </c>
      <c r="F46" s="4">
        <f t="shared" si="2"/>
        <v>0</v>
      </c>
      <c r="G46" s="4">
        <f t="shared" si="3"/>
        <v>0</v>
      </c>
      <c r="H46" s="4">
        <f t="shared" si="4"/>
        <v>0</v>
      </c>
      <c r="I46" s="5" t="str">
        <f t="shared" si="5"/>
        <v/>
      </c>
    </row>
    <row r="47" spans="1:10" ht="30" x14ac:dyDescent="0.25">
      <c r="A47" s="2" t="s">
        <v>46</v>
      </c>
      <c r="B47" s="4">
        <f>20000</f>
        <v>20000</v>
      </c>
      <c r="C47" s="3"/>
      <c r="D47" s="4">
        <f t="shared" si="0"/>
        <v>20000</v>
      </c>
      <c r="E47" s="5" t="str">
        <f t="shared" si="1"/>
        <v/>
      </c>
      <c r="F47" s="4">
        <f t="shared" si="2"/>
        <v>20000</v>
      </c>
      <c r="G47" s="4">
        <f t="shared" si="3"/>
        <v>0</v>
      </c>
      <c r="H47" s="4">
        <f t="shared" si="4"/>
        <v>20000</v>
      </c>
      <c r="I47" s="5" t="str">
        <f t="shared" si="5"/>
        <v/>
      </c>
      <c r="J47" s="10" t="s">
        <v>170</v>
      </c>
    </row>
    <row r="48" spans="1:10" x14ac:dyDescent="0.25">
      <c r="A48" s="2" t="s">
        <v>47</v>
      </c>
      <c r="B48" s="6">
        <f>(B46)+(B47)</f>
        <v>20000</v>
      </c>
      <c r="C48" s="6">
        <f>(C46)+(C47)</f>
        <v>0</v>
      </c>
      <c r="D48" s="6">
        <f t="shared" si="0"/>
        <v>20000</v>
      </c>
      <c r="E48" s="7" t="str">
        <f t="shared" si="1"/>
        <v/>
      </c>
      <c r="F48" s="6">
        <f t="shared" si="2"/>
        <v>20000</v>
      </c>
      <c r="G48" s="6">
        <f t="shared" si="3"/>
        <v>0</v>
      </c>
      <c r="H48" s="6">
        <f t="shared" si="4"/>
        <v>20000</v>
      </c>
      <c r="I48" s="7" t="str">
        <f t="shared" si="5"/>
        <v/>
      </c>
    </row>
    <row r="49" spans="1:10" x14ac:dyDescent="0.25">
      <c r="A49" s="2" t="s">
        <v>48</v>
      </c>
      <c r="B49" s="6">
        <f>((((((B20)+(B24))+(B29))+(B33))+(B37))+(B45))+(B48)</f>
        <v>42860.35</v>
      </c>
      <c r="C49" s="6">
        <f>((((((C20)+(C24))+(C29))+(C33))+(C37))+(C45))+(C48)</f>
        <v>22789.5</v>
      </c>
      <c r="D49" s="6">
        <f t="shared" si="0"/>
        <v>20070.849999999999</v>
      </c>
      <c r="E49" s="7">
        <f t="shared" si="1"/>
        <v>1.8807060268983522</v>
      </c>
      <c r="F49" s="6">
        <f t="shared" si="2"/>
        <v>42860.35</v>
      </c>
      <c r="G49" s="6">
        <f t="shared" si="3"/>
        <v>22789.5</v>
      </c>
      <c r="H49" s="6">
        <f t="shared" si="4"/>
        <v>20070.849999999999</v>
      </c>
      <c r="I49" s="7">
        <f t="shared" si="5"/>
        <v>1.8807060268983522</v>
      </c>
    </row>
    <row r="50" spans="1:10" ht="30" x14ac:dyDescent="0.25">
      <c r="A50" s="2" t="s">
        <v>49</v>
      </c>
      <c r="B50" s="6">
        <f>(B49)-(0)</f>
        <v>42860.35</v>
      </c>
      <c r="C50" s="6">
        <f>(C49)-(0)</f>
        <v>22789.5</v>
      </c>
      <c r="D50" s="6">
        <f t="shared" si="0"/>
        <v>20070.849999999999</v>
      </c>
      <c r="E50" s="7">
        <f t="shared" si="1"/>
        <v>1.8807060268983522</v>
      </c>
      <c r="F50" s="6">
        <f t="shared" si="2"/>
        <v>42860.35</v>
      </c>
      <c r="G50" s="6">
        <f t="shared" si="3"/>
        <v>22789.5</v>
      </c>
      <c r="H50" s="6">
        <f t="shared" si="4"/>
        <v>20070.849999999999</v>
      </c>
      <c r="I50" s="7">
        <f t="shared" si="5"/>
        <v>1.8807060268983522</v>
      </c>
      <c r="J50" s="10" t="s">
        <v>171</v>
      </c>
    </row>
    <row r="51" spans="1:10" x14ac:dyDescent="0.25">
      <c r="A51" s="2" t="s">
        <v>50</v>
      </c>
      <c r="B51" s="3"/>
      <c r="C51" s="3"/>
      <c r="D51" s="3"/>
      <c r="E51" s="3"/>
      <c r="F51" s="3"/>
      <c r="G51" s="3"/>
      <c r="H51" s="3"/>
      <c r="I51" s="3"/>
    </row>
    <row r="52" spans="1:10" x14ac:dyDescent="0.25">
      <c r="A52" s="2" t="s">
        <v>51</v>
      </c>
      <c r="B52" s="3"/>
      <c r="C52" s="3"/>
      <c r="D52" s="4">
        <f t="shared" ref="D52:D83" si="6">(B52)-(C52)</f>
        <v>0</v>
      </c>
      <c r="E52" s="5" t="str">
        <f t="shared" ref="E52:E83" si="7">IF(C52=0,"",(B52)/(C52))</f>
        <v/>
      </c>
      <c r="F52" s="4">
        <f t="shared" ref="F52:F83" si="8">B52</f>
        <v>0</v>
      </c>
      <c r="G52" s="4">
        <f t="shared" ref="G52:G83" si="9">C52</f>
        <v>0</v>
      </c>
      <c r="H52" s="4">
        <f t="shared" ref="H52:H83" si="10">(F52)-(G52)</f>
        <v>0</v>
      </c>
      <c r="I52" s="5" t="str">
        <f t="shared" ref="I52:I83" si="11">IF(G52=0,"",(F52)/(G52))</f>
        <v/>
      </c>
    </row>
    <row r="53" spans="1:10" x14ac:dyDescent="0.25">
      <c r="A53" s="2" t="s">
        <v>52</v>
      </c>
      <c r="B53" s="4">
        <f>12</f>
        <v>12</v>
      </c>
      <c r="C53" s="4">
        <f>12</f>
        <v>12</v>
      </c>
      <c r="D53" s="4">
        <f t="shared" si="6"/>
        <v>0</v>
      </c>
      <c r="E53" s="5">
        <f t="shared" si="7"/>
        <v>1</v>
      </c>
      <c r="F53" s="4">
        <f t="shared" si="8"/>
        <v>12</v>
      </c>
      <c r="G53" s="4">
        <f t="shared" si="9"/>
        <v>12</v>
      </c>
      <c r="H53" s="4">
        <f t="shared" si="10"/>
        <v>0</v>
      </c>
      <c r="I53" s="5">
        <f t="shared" si="11"/>
        <v>1</v>
      </c>
    </row>
    <row r="54" spans="1:10" x14ac:dyDescent="0.25">
      <c r="A54" s="2" t="s">
        <v>53</v>
      </c>
      <c r="B54" s="3"/>
      <c r="C54" s="4">
        <f>0</f>
        <v>0</v>
      </c>
      <c r="D54" s="4">
        <f t="shared" si="6"/>
        <v>0</v>
      </c>
      <c r="E54" s="5" t="str">
        <f t="shared" si="7"/>
        <v/>
      </c>
      <c r="F54" s="4">
        <f t="shared" si="8"/>
        <v>0</v>
      </c>
      <c r="G54" s="4">
        <f t="shared" si="9"/>
        <v>0</v>
      </c>
      <c r="H54" s="4">
        <f t="shared" si="10"/>
        <v>0</v>
      </c>
      <c r="I54" s="5" t="str">
        <f t="shared" si="11"/>
        <v/>
      </c>
    </row>
    <row r="55" spans="1:10" x14ac:dyDescent="0.25">
      <c r="A55" s="2" t="s">
        <v>54</v>
      </c>
      <c r="B55" s="4">
        <f>5</f>
        <v>5</v>
      </c>
      <c r="C55" s="4">
        <f>5</f>
        <v>5</v>
      </c>
      <c r="D55" s="4">
        <f t="shared" si="6"/>
        <v>0</v>
      </c>
      <c r="E55" s="5">
        <f t="shared" si="7"/>
        <v>1</v>
      </c>
      <c r="F55" s="4">
        <f t="shared" si="8"/>
        <v>5</v>
      </c>
      <c r="G55" s="4">
        <f t="shared" si="9"/>
        <v>5</v>
      </c>
      <c r="H55" s="4">
        <f t="shared" si="10"/>
        <v>0</v>
      </c>
      <c r="I55" s="5">
        <f t="shared" si="11"/>
        <v>1</v>
      </c>
    </row>
    <row r="56" spans="1:10" x14ac:dyDescent="0.25">
      <c r="A56" s="2" t="s">
        <v>55</v>
      </c>
      <c r="B56" s="3"/>
      <c r="C56" s="4">
        <f>0</f>
        <v>0</v>
      </c>
      <c r="D56" s="4">
        <f t="shared" si="6"/>
        <v>0</v>
      </c>
      <c r="E56" s="5" t="str">
        <f t="shared" si="7"/>
        <v/>
      </c>
      <c r="F56" s="4">
        <f t="shared" si="8"/>
        <v>0</v>
      </c>
      <c r="G56" s="4">
        <f t="shared" si="9"/>
        <v>0</v>
      </c>
      <c r="H56" s="4">
        <f t="shared" si="10"/>
        <v>0</v>
      </c>
      <c r="I56" s="5" t="str">
        <f t="shared" si="11"/>
        <v/>
      </c>
    </row>
    <row r="57" spans="1:10" x14ac:dyDescent="0.25">
      <c r="A57" s="2" t="s">
        <v>56</v>
      </c>
      <c r="B57" s="4">
        <f>42</f>
        <v>42</v>
      </c>
      <c r="C57" s="4">
        <f>50</f>
        <v>50</v>
      </c>
      <c r="D57" s="4">
        <f t="shared" si="6"/>
        <v>-8</v>
      </c>
      <c r="E57" s="5">
        <f t="shared" si="7"/>
        <v>0.84</v>
      </c>
      <c r="F57" s="4">
        <f t="shared" si="8"/>
        <v>42</v>
      </c>
      <c r="G57" s="4">
        <f t="shared" si="9"/>
        <v>50</v>
      </c>
      <c r="H57" s="4">
        <f t="shared" si="10"/>
        <v>-8</v>
      </c>
      <c r="I57" s="5">
        <f t="shared" si="11"/>
        <v>0.84</v>
      </c>
    </row>
    <row r="58" spans="1:10" x14ac:dyDescent="0.25">
      <c r="A58" s="2" t="s">
        <v>57</v>
      </c>
      <c r="B58" s="3"/>
      <c r="C58" s="4">
        <f>0</f>
        <v>0</v>
      </c>
      <c r="D58" s="4">
        <f t="shared" si="6"/>
        <v>0</v>
      </c>
      <c r="E58" s="5" t="str">
        <f t="shared" si="7"/>
        <v/>
      </c>
      <c r="F58" s="4">
        <f t="shared" si="8"/>
        <v>0</v>
      </c>
      <c r="G58" s="4">
        <f t="shared" si="9"/>
        <v>0</v>
      </c>
      <c r="H58" s="4">
        <f t="shared" si="10"/>
        <v>0</v>
      </c>
      <c r="I58" s="5" t="str">
        <f t="shared" si="11"/>
        <v/>
      </c>
    </row>
    <row r="59" spans="1:10" x14ac:dyDescent="0.25">
      <c r="A59" s="2" t="s">
        <v>58</v>
      </c>
      <c r="B59" s="3"/>
      <c r="C59" s="4">
        <f>0</f>
        <v>0</v>
      </c>
      <c r="D59" s="4">
        <f t="shared" si="6"/>
        <v>0</v>
      </c>
      <c r="E59" s="5" t="str">
        <f t="shared" si="7"/>
        <v/>
      </c>
      <c r="F59" s="4">
        <f t="shared" si="8"/>
        <v>0</v>
      </c>
      <c r="G59" s="4">
        <f t="shared" si="9"/>
        <v>0</v>
      </c>
      <c r="H59" s="4">
        <f t="shared" si="10"/>
        <v>0</v>
      </c>
      <c r="I59" s="5" t="str">
        <f t="shared" si="11"/>
        <v/>
      </c>
    </row>
    <row r="60" spans="1:10" x14ac:dyDescent="0.25">
      <c r="A60" s="2" t="s">
        <v>59</v>
      </c>
      <c r="B60" s="4">
        <f>247.5</f>
        <v>247.5</v>
      </c>
      <c r="C60" s="4">
        <f>275</f>
        <v>275</v>
      </c>
      <c r="D60" s="4">
        <f t="shared" si="6"/>
        <v>-27.5</v>
      </c>
      <c r="E60" s="5">
        <f t="shared" si="7"/>
        <v>0.9</v>
      </c>
      <c r="F60" s="4">
        <f t="shared" si="8"/>
        <v>247.5</v>
      </c>
      <c r="G60" s="4">
        <f t="shared" si="9"/>
        <v>275</v>
      </c>
      <c r="H60" s="4">
        <f t="shared" si="10"/>
        <v>-27.5</v>
      </c>
      <c r="I60" s="5">
        <f t="shared" si="11"/>
        <v>0.9</v>
      </c>
    </row>
    <row r="61" spans="1:10" x14ac:dyDescent="0.25">
      <c r="A61" s="2" t="s">
        <v>60</v>
      </c>
      <c r="B61" s="6">
        <f>((((((((B52)+(B53))+(B54))+(B55))+(B56))+(B57))+(B58))+(B59))+(B60)</f>
        <v>306.5</v>
      </c>
      <c r="C61" s="6">
        <f>((((((((C52)+(C53))+(C54))+(C55))+(C56))+(C57))+(C58))+(C59))+(C60)</f>
        <v>342</v>
      </c>
      <c r="D61" s="6">
        <f t="shared" si="6"/>
        <v>-35.5</v>
      </c>
      <c r="E61" s="7">
        <f t="shared" si="7"/>
        <v>0.89619883040935677</v>
      </c>
      <c r="F61" s="6">
        <f t="shared" si="8"/>
        <v>306.5</v>
      </c>
      <c r="G61" s="6">
        <f t="shared" si="9"/>
        <v>342</v>
      </c>
      <c r="H61" s="6">
        <f t="shared" si="10"/>
        <v>-35.5</v>
      </c>
      <c r="I61" s="7">
        <f t="shared" si="11"/>
        <v>0.89619883040935677</v>
      </c>
    </row>
    <row r="62" spans="1:10" x14ac:dyDescent="0.25">
      <c r="A62" s="2" t="s">
        <v>61</v>
      </c>
      <c r="B62" s="3"/>
      <c r="C62" s="3"/>
      <c r="D62" s="4">
        <f t="shared" si="6"/>
        <v>0</v>
      </c>
      <c r="E62" s="5" t="str">
        <f t="shared" si="7"/>
        <v/>
      </c>
      <c r="F62" s="4">
        <f t="shared" si="8"/>
        <v>0</v>
      </c>
      <c r="G62" s="4">
        <f t="shared" si="9"/>
        <v>0</v>
      </c>
      <c r="H62" s="4">
        <f t="shared" si="10"/>
        <v>0</v>
      </c>
      <c r="I62" s="5" t="str">
        <f t="shared" si="11"/>
        <v/>
      </c>
    </row>
    <row r="63" spans="1:10" x14ac:dyDescent="0.25">
      <c r="A63" s="2" t="s">
        <v>62</v>
      </c>
      <c r="B63" s="3"/>
      <c r="C63" s="4">
        <f>0</f>
        <v>0</v>
      </c>
      <c r="D63" s="4">
        <f t="shared" si="6"/>
        <v>0</v>
      </c>
      <c r="E63" s="5" t="str">
        <f t="shared" si="7"/>
        <v/>
      </c>
      <c r="F63" s="4">
        <f t="shared" si="8"/>
        <v>0</v>
      </c>
      <c r="G63" s="4">
        <f t="shared" si="9"/>
        <v>0</v>
      </c>
      <c r="H63" s="4">
        <f t="shared" si="10"/>
        <v>0</v>
      </c>
      <c r="I63" s="5" t="str">
        <f t="shared" si="11"/>
        <v/>
      </c>
    </row>
    <row r="64" spans="1:10" x14ac:dyDescent="0.25">
      <c r="A64" s="2" t="s">
        <v>26</v>
      </c>
      <c r="B64" s="3"/>
      <c r="C64" s="4">
        <f>300</f>
        <v>300</v>
      </c>
      <c r="D64" s="4">
        <f t="shared" si="6"/>
        <v>-300</v>
      </c>
      <c r="E64" s="5">
        <f t="shared" si="7"/>
        <v>0</v>
      </c>
      <c r="F64" s="4">
        <f t="shared" si="8"/>
        <v>0</v>
      </c>
      <c r="G64" s="4">
        <f t="shared" si="9"/>
        <v>300</v>
      </c>
      <c r="H64" s="4">
        <f t="shared" si="10"/>
        <v>-300</v>
      </c>
      <c r="I64" s="5">
        <f t="shared" si="11"/>
        <v>0</v>
      </c>
    </row>
    <row r="65" spans="1:10" ht="45" x14ac:dyDescent="0.25">
      <c r="A65" s="2" t="s">
        <v>63</v>
      </c>
      <c r="B65" s="4">
        <f>612</f>
        <v>612</v>
      </c>
      <c r="C65" s="4">
        <f>300</f>
        <v>300</v>
      </c>
      <c r="D65" s="4">
        <f t="shared" si="6"/>
        <v>312</v>
      </c>
      <c r="E65" s="5">
        <f t="shared" si="7"/>
        <v>2.04</v>
      </c>
      <c r="F65" s="4">
        <f t="shared" si="8"/>
        <v>612</v>
      </c>
      <c r="G65" s="4">
        <f t="shared" si="9"/>
        <v>300</v>
      </c>
      <c r="H65" s="4">
        <f t="shared" si="10"/>
        <v>312</v>
      </c>
      <c r="I65" s="5">
        <f t="shared" si="11"/>
        <v>2.04</v>
      </c>
      <c r="J65" s="10" t="s">
        <v>172</v>
      </c>
    </row>
    <row r="66" spans="1:10" x14ac:dyDescent="0.25">
      <c r="A66" s="2" t="s">
        <v>64</v>
      </c>
      <c r="B66" s="6">
        <f>(((B62)+(B63))+(B64))+(B65)</f>
        <v>612</v>
      </c>
      <c r="C66" s="6">
        <f>(((C62)+(C63))+(C64))+(C65)</f>
        <v>600</v>
      </c>
      <c r="D66" s="6">
        <f t="shared" si="6"/>
        <v>12</v>
      </c>
      <c r="E66" s="7">
        <f t="shared" si="7"/>
        <v>1.02</v>
      </c>
      <c r="F66" s="6">
        <f t="shared" si="8"/>
        <v>612</v>
      </c>
      <c r="G66" s="6">
        <f t="shared" si="9"/>
        <v>600</v>
      </c>
      <c r="H66" s="6">
        <f t="shared" si="10"/>
        <v>12</v>
      </c>
      <c r="I66" s="7">
        <f t="shared" si="11"/>
        <v>1.02</v>
      </c>
    </row>
    <row r="67" spans="1:10" ht="30" x14ac:dyDescent="0.25">
      <c r="A67" s="2" t="s">
        <v>65</v>
      </c>
      <c r="B67" s="4">
        <f>939.55</f>
        <v>939.55</v>
      </c>
      <c r="C67" s="4">
        <f>500</f>
        <v>500</v>
      </c>
      <c r="D67" s="4">
        <f t="shared" si="6"/>
        <v>439.54999999999995</v>
      </c>
      <c r="E67" s="5">
        <f t="shared" si="7"/>
        <v>1.8791</v>
      </c>
      <c r="F67" s="4">
        <f t="shared" si="8"/>
        <v>939.55</v>
      </c>
      <c r="G67" s="4">
        <f t="shared" si="9"/>
        <v>500</v>
      </c>
      <c r="H67" s="4">
        <f t="shared" si="10"/>
        <v>439.54999999999995</v>
      </c>
      <c r="I67" s="5">
        <f t="shared" si="11"/>
        <v>1.8791</v>
      </c>
      <c r="J67" s="24" t="s">
        <v>173</v>
      </c>
    </row>
    <row r="68" spans="1:10" x14ac:dyDescent="0.25">
      <c r="A68" s="2" t="s">
        <v>66</v>
      </c>
      <c r="B68" s="3"/>
      <c r="C68" s="4">
        <f>100</f>
        <v>100</v>
      </c>
      <c r="D68" s="4">
        <f t="shared" si="6"/>
        <v>-100</v>
      </c>
      <c r="E68" s="5">
        <f t="shared" si="7"/>
        <v>0</v>
      </c>
      <c r="F68" s="4">
        <f t="shared" si="8"/>
        <v>0</v>
      </c>
      <c r="G68" s="4">
        <f t="shared" si="9"/>
        <v>100</v>
      </c>
      <c r="H68" s="4">
        <f t="shared" si="10"/>
        <v>-100</v>
      </c>
      <c r="I68" s="5">
        <f t="shared" si="11"/>
        <v>0</v>
      </c>
    </row>
    <row r="69" spans="1:10" x14ac:dyDescent="0.25">
      <c r="A69" s="2" t="s">
        <v>67</v>
      </c>
      <c r="B69" s="3"/>
      <c r="C69" s="4">
        <f>0</f>
        <v>0</v>
      </c>
      <c r="D69" s="4">
        <f t="shared" si="6"/>
        <v>0</v>
      </c>
      <c r="E69" s="5" t="str">
        <f t="shared" si="7"/>
        <v/>
      </c>
      <c r="F69" s="4">
        <f t="shared" si="8"/>
        <v>0</v>
      </c>
      <c r="G69" s="4">
        <f t="shared" si="9"/>
        <v>0</v>
      </c>
      <c r="H69" s="4">
        <f t="shared" si="10"/>
        <v>0</v>
      </c>
      <c r="I69" s="5" t="str">
        <f t="shared" si="11"/>
        <v/>
      </c>
    </row>
    <row r="70" spans="1:10" x14ac:dyDescent="0.25">
      <c r="A70" s="2" t="s">
        <v>68</v>
      </c>
      <c r="B70" s="3"/>
      <c r="C70" s="3"/>
      <c r="D70" s="4">
        <f t="shared" si="6"/>
        <v>0</v>
      </c>
      <c r="E70" s="5" t="str">
        <f t="shared" si="7"/>
        <v/>
      </c>
      <c r="F70" s="4">
        <f t="shared" si="8"/>
        <v>0</v>
      </c>
      <c r="G70" s="4">
        <f t="shared" si="9"/>
        <v>0</v>
      </c>
      <c r="H70" s="4">
        <f t="shared" si="10"/>
        <v>0</v>
      </c>
      <c r="I70" s="5" t="str">
        <f t="shared" si="11"/>
        <v/>
      </c>
    </row>
    <row r="71" spans="1:10" x14ac:dyDescent="0.25">
      <c r="A71" s="2" t="s">
        <v>69</v>
      </c>
      <c r="B71" s="3"/>
      <c r="C71" s="4">
        <f>0</f>
        <v>0</v>
      </c>
      <c r="D71" s="4">
        <f t="shared" si="6"/>
        <v>0</v>
      </c>
      <c r="E71" s="5" t="str">
        <f t="shared" si="7"/>
        <v/>
      </c>
      <c r="F71" s="4">
        <f t="shared" si="8"/>
        <v>0</v>
      </c>
      <c r="G71" s="4">
        <f t="shared" si="9"/>
        <v>0</v>
      </c>
      <c r="H71" s="4">
        <f t="shared" si="10"/>
        <v>0</v>
      </c>
      <c r="I71" s="5" t="str">
        <f t="shared" si="11"/>
        <v/>
      </c>
    </row>
    <row r="72" spans="1:10" x14ac:dyDescent="0.25">
      <c r="A72" s="2" t="s">
        <v>70</v>
      </c>
      <c r="B72" s="3"/>
      <c r="C72" s="4">
        <f>0</f>
        <v>0</v>
      </c>
      <c r="D72" s="4">
        <f t="shared" si="6"/>
        <v>0</v>
      </c>
      <c r="E72" s="5" t="str">
        <f t="shared" si="7"/>
        <v/>
      </c>
      <c r="F72" s="4">
        <f t="shared" si="8"/>
        <v>0</v>
      </c>
      <c r="G72" s="4">
        <f t="shared" si="9"/>
        <v>0</v>
      </c>
      <c r="H72" s="4">
        <f t="shared" si="10"/>
        <v>0</v>
      </c>
      <c r="I72" s="5" t="str">
        <f t="shared" si="11"/>
        <v/>
      </c>
    </row>
    <row r="73" spans="1:10" x14ac:dyDescent="0.25">
      <c r="A73" s="2" t="s">
        <v>71</v>
      </c>
      <c r="B73" s="3"/>
      <c r="C73" s="4">
        <f>8</f>
        <v>8</v>
      </c>
      <c r="D73" s="4">
        <f t="shared" si="6"/>
        <v>-8</v>
      </c>
      <c r="E73" s="5">
        <f t="shared" si="7"/>
        <v>0</v>
      </c>
      <c r="F73" s="4">
        <f t="shared" si="8"/>
        <v>0</v>
      </c>
      <c r="G73" s="4">
        <f t="shared" si="9"/>
        <v>8</v>
      </c>
      <c r="H73" s="4">
        <f t="shared" si="10"/>
        <v>-8</v>
      </c>
      <c r="I73" s="5">
        <f t="shared" si="11"/>
        <v>0</v>
      </c>
    </row>
    <row r="74" spans="1:10" x14ac:dyDescent="0.25">
      <c r="A74" s="2" t="s">
        <v>72</v>
      </c>
      <c r="B74" s="3"/>
      <c r="C74" s="4">
        <f>15</f>
        <v>15</v>
      </c>
      <c r="D74" s="4">
        <f t="shared" si="6"/>
        <v>-15</v>
      </c>
      <c r="E74" s="5">
        <f t="shared" si="7"/>
        <v>0</v>
      </c>
      <c r="F74" s="4">
        <f t="shared" si="8"/>
        <v>0</v>
      </c>
      <c r="G74" s="4">
        <f t="shared" si="9"/>
        <v>15</v>
      </c>
      <c r="H74" s="4">
        <f t="shared" si="10"/>
        <v>-15</v>
      </c>
      <c r="I74" s="5">
        <f t="shared" si="11"/>
        <v>0</v>
      </c>
    </row>
    <row r="75" spans="1:10" x14ac:dyDescent="0.25">
      <c r="A75" s="2" t="s">
        <v>73</v>
      </c>
      <c r="B75" s="4">
        <f>35</f>
        <v>35</v>
      </c>
      <c r="C75" s="4">
        <f>0</f>
        <v>0</v>
      </c>
      <c r="D75" s="4">
        <f t="shared" si="6"/>
        <v>35</v>
      </c>
      <c r="E75" s="5" t="str">
        <f t="shared" si="7"/>
        <v/>
      </c>
      <c r="F75" s="4">
        <f t="shared" si="8"/>
        <v>35</v>
      </c>
      <c r="G75" s="4">
        <f t="shared" si="9"/>
        <v>0</v>
      </c>
      <c r="H75" s="4">
        <f t="shared" si="10"/>
        <v>35</v>
      </c>
      <c r="I75" s="5" t="str">
        <f t="shared" si="11"/>
        <v/>
      </c>
    </row>
    <row r="76" spans="1:10" x14ac:dyDescent="0.25">
      <c r="A76" s="2" t="s">
        <v>74</v>
      </c>
      <c r="B76" s="4">
        <f>63</f>
        <v>63</v>
      </c>
      <c r="C76" s="4">
        <f>250</f>
        <v>250</v>
      </c>
      <c r="D76" s="4">
        <f t="shared" si="6"/>
        <v>-187</v>
      </c>
      <c r="E76" s="5">
        <f t="shared" si="7"/>
        <v>0.252</v>
      </c>
      <c r="F76" s="4">
        <f t="shared" si="8"/>
        <v>63</v>
      </c>
      <c r="G76" s="4">
        <f t="shared" si="9"/>
        <v>250</v>
      </c>
      <c r="H76" s="4">
        <f t="shared" si="10"/>
        <v>-187</v>
      </c>
      <c r="I76" s="5">
        <f t="shared" si="11"/>
        <v>0.252</v>
      </c>
    </row>
    <row r="77" spans="1:10" ht="45" x14ac:dyDescent="0.25">
      <c r="A77" s="2" t="s">
        <v>75</v>
      </c>
      <c r="B77" s="3"/>
      <c r="C77" s="4">
        <f>30</f>
        <v>30</v>
      </c>
      <c r="D77" s="4">
        <f t="shared" si="6"/>
        <v>-30</v>
      </c>
      <c r="E77" s="5">
        <f t="shared" si="7"/>
        <v>0</v>
      </c>
      <c r="F77" s="4">
        <f t="shared" si="8"/>
        <v>0</v>
      </c>
      <c r="G77" s="4">
        <f t="shared" si="9"/>
        <v>30</v>
      </c>
      <c r="H77" s="4">
        <f t="shared" si="10"/>
        <v>-30</v>
      </c>
      <c r="I77" s="5">
        <f t="shared" si="11"/>
        <v>0</v>
      </c>
      <c r="J77" s="10" t="s">
        <v>174</v>
      </c>
    </row>
    <row r="78" spans="1:10" x14ac:dyDescent="0.25">
      <c r="A78" s="2" t="s">
        <v>76</v>
      </c>
      <c r="B78" s="3"/>
      <c r="C78" s="4">
        <f>100</f>
        <v>100</v>
      </c>
      <c r="D78" s="4">
        <f t="shared" si="6"/>
        <v>-100</v>
      </c>
      <c r="E78" s="5">
        <f t="shared" si="7"/>
        <v>0</v>
      </c>
      <c r="F78" s="4">
        <f t="shared" si="8"/>
        <v>0</v>
      </c>
      <c r="G78" s="4">
        <f t="shared" si="9"/>
        <v>100</v>
      </c>
      <c r="H78" s="4">
        <f t="shared" si="10"/>
        <v>-100</v>
      </c>
      <c r="I78" s="5">
        <f t="shared" si="11"/>
        <v>0</v>
      </c>
    </row>
    <row r="79" spans="1:10" x14ac:dyDescent="0.25">
      <c r="A79" s="2" t="s">
        <v>77</v>
      </c>
      <c r="B79" s="3"/>
      <c r="C79" s="4">
        <f>60</f>
        <v>60</v>
      </c>
      <c r="D79" s="4">
        <f t="shared" si="6"/>
        <v>-60</v>
      </c>
      <c r="E79" s="5">
        <f t="shared" si="7"/>
        <v>0</v>
      </c>
      <c r="F79" s="4">
        <f t="shared" si="8"/>
        <v>0</v>
      </c>
      <c r="G79" s="4">
        <f t="shared" si="9"/>
        <v>60</v>
      </c>
      <c r="H79" s="4">
        <f t="shared" si="10"/>
        <v>-60</v>
      </c>
      <c r="I79" s="5">
        <f t="shared" si="11"/>
        <v>0</v>
      </c>
    </row>
    <row r="80" spans="1:10" x14ac:dyDescent="0.25">
      <c r="A80" s="2" t="s">
        <v>78</v>
      </c>
      <c r="B80" s="4">
        <f>17.67</f>
        <v>17.670000000000002</v>
      </c>
      <c r="C80" s="4">
        <f>0</f>
        <v>0</v>
      </c>
      <c r="D80" s="4">
        <f t="shared" si="6"/>
        <v>17.670000000000002</v>
      </c>
      <c r="E80" s="5" t="str">
        <f t="shared" si="7"/>
        <v/>
      </c>
      <c r="F80" s="4">
        <f t="shared" si="8"/>
        <v>17.670000000000002</v>
      </c>
      <c r="G80" s="4">
        <f t="shared" si="9"/>
        <v>0</v>
      </c>
      <c r="H80" s="4">
        <f t="shared" si="10"/>
        <v>17.670000000000002</v>
      </c>
      <c r="I80" s="5" t="str">
        <f t="shared" si="11"/>
        <v/>
      </c>
    </row>
    <row r="81" spans="1:10" x14ac:dyDescent="0.25">
      <c r="A81" s="2" t="s">
        <v>79</v>
      </c>
      <c r="B81" s="3"/>
      <c r="C81" s="4">
        <f>6</f>
        <v>6</v>
      </c>
      <c r="D81" s="4">
        <f t="shared" si="6"/>
        <v>-6</v>
      </c>
      <c r="E81" s="5">
        <f t="shared" si="7"/>
        <v>0</v>
      </c>
      <c r="F81" s="4">
        <f t="shared" si="8"/>
        <v>0</v>
      </c>
      <c r="G81" s="4">
        <f t="shared" si="9"/>
        <v>6</v>
      </c>
      <c r="H81" s="4">
        <f t="shared" si="10"/>
        <v>-6</v>
      </c>
      <c r="I81" s="5">
        <f t="shared" si="11"/>
        <v>0</v>
      </c>
    </row>
    <row r="82" spans="1:10" x14ac:dyDescent="0.25">
      <c r="A82" s="2" t="s">
        <v>80</v>
      </c>
      <c r="B82" s="3"/>
      <c r="C82" s="4">
        <f>0</f>
        <v>0</v>
      </c>
      <c r="D82" s="4">
        <f t="shared" si="6"/>
        <v>0</v>
      </c>
      <c r="E82" s="5" t="str">
        <f t="shared" si="7"/>
        <v/>
      </c>
      <c r="F82" s="4">
        <f t="shared" si="8"/>
        <v>0</v>
      </c>
      <c r="G82" s="4">
        <f t="shared" si="9"/>
        <v>0</v>
      </c>
      <c r="H82" s="4">
        <f t="shared" si="10"/>
        <v>0</v>
      </c>
      <c r="I82" s="5" t="str">
        <f t="shared" si="11"/>
        <v/>
      </c>
    </row>
    <row r="83" spans="1:10" x14ac:dyDescent="0.25">
      <c r="A83" s="2" t="s">
        <v>81</v>
      </c>
      <c r="B83" s="6">
        <f>((((((((((((B70)+(B71))+(B72))+(B73))+(B74))+(B75))+(B76))+(B77))+(B78))+(B79))+(B80))+(B81))+(B82)</f>
        <v>115.67</v>
      </c>
      <c r="C83" s="6">
        <f>((((((((((((C70)+(C71))+(C72))+(C73))+(C74))+(C75))+(C76))+(C77))+(C78))+(C79))+(C80))+(C81))+(C82)</f>
        <v>469</v>
      </c>
      <c r="D83" s="6">
        <f t="shared" si="6"/>
        <v>-353.33</v>
      </c>
      <c r="E83" s="7">
        <f t="shared" si="7"/>
        <v>0.24663113006396589</v>
      </c>
      <c r="F83" s="6">
        <f t="shared" si="8"/>
        <v>115.67</v>
      </c>
      <c r="G83" s="6">
        <f t="shared" si="9"/>
        <v>469</v>
      </c>
      <c r="H83" s="6">
        <f t="shared" si="10"/>
        <v>-353.33</v>
      </c>
      <c r="I83" s="7">
        <f t="shared" si="11"/>
        <v>0.24663113006396589</v>
      </c>
    </row>
    <row r="84" spans="1:10" x14ac:dyDescent="0.25">
      <c r="A84" s="2" t="s">
        <v>82</v>
      </c>
      <c r="B84" s="4">
        <f>126.89</f>
        <v>126.89</v>
      </c>
      <c r="C84" s="4">
        <f>130</f>
        <v>130</v>
      </c>
      <c r="D84" s="4">
        <f t="shared" ref="D84:D115" si="12">(B84)-(C84)</f>
        <v>-3.1099999999999994</v>
      </c>
      <c r="E84" s="5">
        <f t="shared" ref="E84:E115" si="13">IF(C84=0,"",(B84)/(C84))</f>
        <v>0.97607692307692306</v>
      </c>
      <c r="F84" s="4">
        <f t="shared" ref="F84:F115" si="14">B84</f>
        <v>126.89</v>
      </c>
      <c r="G84" s="4">
        <f t="shared" ref="G84:G115" si="15">C84</f>
        <v>130</v>
      </c>
      <c r="H84" s="4">
        <f t="shared" ref="H84:H115" si="16">(F84)-(G84)</f>
        <v>-3.1099999999999994</v>
      </c>
      <c r="I84" s="5">
        <f t="shared" ref="I84:I115" si="17">IF(G84=0,"",(F84)/(G84))</f>
        <v>0.97607692307692306</v>
      </c>
    </row>
    <row r="85" spans="1:10" x14ac:dyDescent="0.25">
      <c r="A85" s="2" t="s">
        <v>83</v>
      </c>
      <c r="B85" s="3"/>
      <c r="C85" s="3"/>
      <c r="D85" s="4">
        <f t="shared" si="12"/>
        <v>0</v>
      </c>
      <c r="E85" s="5" t="str">
        <f t="shared" si="13"/>
        <v/>
      </c>
      <c r="F85" s="4">
        <f t="shared" si="14"/>
        <v>0</v>
      </c>
      <c r="G85" s="4">
        <f t="shared" si="15"/>
        <v>0</v>
      </c>
      <c r="H85" s="4">
        <f t="shared" si="16"/>
        <v>0</v>
      </c>
      <c r="I85" s="5" t="str">
        <f t="shared" si="17"/>
        <v/>
      </c>
    </row>
    <row r="86" spans="1:10" x14ac:dyDescent="0.25">
      <c r="A86" s="2" t="s">
        <v>84</v>
      </c>
      <c r="B86" s="3"/>
      <c r="C86" s="4">
        <f>0</f>
        <v>0</v>
      </c>
      <c r="D86" s="4">
        <f t="shared" si="12"/>
        <v>0</v>
      </c>
      <c r="E86" s="5" t="str">
        <f t="shared" si="13"/>
        <v/>
      </c>
      <c r="F86" s="4">
        <f t="shared" si="14"/>
        <v>0</v>
      </c>
      <c r="G86" s="4">
        <f t="shared" si="15"/>
        <v>0</v>
      </c>
      <c r="H86" s="4">
        <f t="shared" si="16"/>
        <v>0</v>
      </c>
      <c r="I86" s="5" t="str">
        <f t="shared" si="17"/>
        <v/>
      </c>
    </row>
    <row r="87" spans="1:10" x14ac:dyDescent="0.25">
      <c r="A87" s="2" t="s">
        <v>85</v>
      </c>
      <c r="B87" s="3"/>
      <c r="C87" s="4">
        <f>0</f>
        <v>0</v>
      </c>
      <c r="D87" s="4">
        <f t="shared" si="12"/>
        <v>0</v>
      </c>
      <c r="E87" s="5" t="str">
        <f t="shared" si="13"/>
        <v/>
      </c>
      <c r="F87" s="4">
        <f t="shared" si="14"/>
        <v>0</v>
      </c>
      <c r="G87" s="4">
        <f t="shared" si="15"/>
        <v>0</v>
      </c>
      <c r="H87" s="4">
        <f t="shared" si="16"/>
        <v>0</v>
      </c>
      <c r="I87" s="5" t="str">
        <f t="shared" si="17"/>
        <v/>
      </c>
    </row>
    <row r="88" spans="1:10" x14ac:dyDescent="0.25">
      <c r="A88" s="2" t="s">
        <v>86</v>
      </c>
      <c r="B88" s="3"/>
      <c r="C88" s="4">
        <f>0</f>
        <v>0</v>
      </c>
      <c r="D88" s="4">
        <f t="shared" si="12"/>
        <v>0</v>
      </c>
      <c r="E88" s="5" t="str">
        <f t="shared" si="13"/>
        <v/>
      </c>
      <c r="F88" s="4">
        <f t="shared" si="14"/>
        <v>0</v>
      </c>
      <c r="G88" s="4">
        <f t="shared" si="15"/>
        <v>0</v>
      </c>
      <c r="H88" s="4">
        <f t="shared" si="16"/>
        <v>0</v>
      </c>
      <c r="I88" s="5" t="str">
        <f t="shared" si="17"/>
        <v/>
      </c>
    </row>
    <row r="89" spans="1:10" ht="30" x14ac:dyDescent="0.25">
      <c r="A89" s="2" t="s">
        <v>87</v>
      </c>
      <c r="B89" s="4">
        <f>167</f>
        <v>167</v>
      </c>
      <c r="C89" s="4">
        <f>0</f>
        <v>0</v>
      </c>
      <c r="D89" s="4">
        <f t="shared" si="12"/>
        <v>167</v>
      </c>
      <c r="E89" s="5" t="str">
        <f t="shared" si="13"/>
        <v/>
      </c>
      <c r="F89" s="4">
        <f t="shared" si="14"/>
        <v>167</v>
      </c>
      <c r="G89" s="4">
        <f t="shared" si="15"/>
        <v>0</v>
      </c>
      <c r="H89" s="4">
        <f t="shared" si="16"/>
        <v>167</v>
      </c>
      <c r="I89" s="5" t="str">
        <f t="shared" si="17"/>
        <v/>
      </c>
      <c r="J89" s="10" t="s">
        <v>175</v>
      </c>
    </row>
    <row r="90" spans="1:10" x14ac:dyDescent="0.25">
      <c r="A90" s="2" t="s">
        <v>88</v>
      </c>
      <c r="B90" s="6">
        <f>((((B85)+(B86))+(B87))+(B88))+(B89)</f>
        <v>167</v>
      </c>
      <c r="C90" s="6">
        <f>((((C85)+(C86))+(C87))+(C88))+(C89)</f>
        <v>0</v>
      </c>
      <c r="D90" s="6">
        <f t="shared" si="12"/>
        <v>167</v>
      </c>
      <c r="E90" s="7" t="str">
        <f t="shared" si="13"/>
        <v/>
      </c>
      <c r="F90" s="6">
        <f t="shared" si="14"/>
        <v>167</v>
      </c>
      <c r="G90" s="6">
        <f t="shared" si="15"/>
        <v>0</v>
      </c>
      <c r="H90" s="6">
        <f t="shared" si="16"/>
        <v>167</v>
      </c>
      <c r="I90" s="7" t="str">
        <f t="shared" si="17"/>
        <v/>
      </c>
    </row>
    <row r="91" spans="1:10" x14ac:dyDescent="0.25">
      <c r="A91" s="2" t="s">
        <v>89</v>
      </c>
      <c r="B91" s="3"/>
      <c r="C91" s="3"/>
      <c r="D91" s="4">
        <f t="shared" si="12"/>
        <v>0</v>
      </c>
      <c r="E91" s="5" t="str">
        <f t="shared" si="13"/>
        <v/>
      </c>
      <c r="F91" s="4">
        <f t="shared" si="14"/>
        <v>0</v>
      </c>
      <c r="G91" s="4">
        <f t="shared" si="15"/>
        <v>0</v>
      </c>
      <c r="H91" s="4">
        <f t="shared" si="16"/>
        <v>0</v>
      </c>
      <c r="I91" s="5" t="str">
        <f t="shared" si="17"/>
        <v/>
      </c>
    </row>
    <row r="92" spans="1:10" x14ac:dyDescent="0.25">
      <c r="A92" s="2" t="s">
        <v>90</v>
      </c>
      <c r="B92" s="3"/>
      <c r="C92" s="4">
        <f>40</f>
        <v>40</v>
      </c>
      <c r="D92" s="4">
        <f t="shared" si="12"/>
        <v>-40</v>
      </c>
      <c r="E92" s="5">
        <f t="shared" si="13"/>
        <v>0</v>
      </c>
      <c r="F92" s="4">
        <f t="shared" si="14"/>
        <v>0</v>
      </c>
      <c r="G92" s="4">
        <f t="shared" si="15"/>
        <v>40</v>
      </c>
      <c r="H92" s="4">
        <f t="shared" si="16"/>
        <v>-40</v>
      </c>
      <c r="I92" s="5">
        <f t="shared" si="17"/>
        <v>0</v>
      </c>
    </row>
    <row r="93" spans="1:10" ht="45" x14ac:dyDescent="0.25">
      <c r="A93" s="2" t="s">
        <v>91</v>
      </c>
      <c r="B93" s="4">
        <f>1182.42</f>
        <v>1182.42</v>
      </c>
      <c r="C93" s="4">
        <f>0</f>
        <v>0</v>
      </c>
      <c r="D93" s="4">
        <f t="shared" si="12"/>
        <v>1182.42</v>
      </c>
      <c r="E93" s="5" t="str">
        <f t="shared" si="13"/>
        <v/>
      </c>
      <c r="F93" s="4">
        <f t="shared" si="14"/>
        <v>1182.42</v>
      </c>
      <c r="G93" s="4">
        <f t="shared" si="15"/>
        <v>0</v>
      </c>
      <c r="H93" s="4">
        <f t="shared" si="16"/>
        <v>1182.42</v>
      </c>
      <c r="I93" s="5" t="str">
        <f t="shared" si="17"/>
        <v/>
      </c>
      <c r="J93" s="10" t="s">
        <v>176</v>
      </c>
    </row>
    <row r="94" spans="1:10" x14ac:dyDescent="0.25">
      <c r="A94" s="2" t="s">
        <v>92</v>
      </c>
      <c r="B94" s="3"/>
      <c r="C94" s="4">
        <f>55</f>
        <v>55</v>
      </c>
      <c r="D94" s="4">
        <f t="shared" si="12"/>
        <v>-55</v>
      </c>
      <c r="E94" s="5">
        <f t="shared" si="13"/>
        <v>0</v>
      </c>
      <c r="F94" s="4">
        <f t="shared" si="14"/>
        <v>0</v>
      </c>
      <c r="G94" s="4">
        <f t="shared" si="15"/>
        <v>55</v>
      </c>
      <c r="H94" s="4">
        <f t="shared" si="16"/>
        <v>-55</v>
      </c>
      <c r="I94" s="5">
        <f t="shared" si="17"/>
        <v>0</v>
      </c>
    </row>
    <row r="95" spans="1:10" x14ac:dyDescent="0.25">
      <c r="A95" s="2" t="s">
        <v>93</v>
      </c>
      <c r="B95" s="3"/>
      <c r="C95" s="4">
        <f>325</f>
        <v>325</v>
      </c>
      <c r="D95" s="4">
        <f t="shared" si="12"/>
        <v>-325</v>
      </c>
      <c r="E95" s="5">
        <f t="shared" si="13"/>
        <v>0</v>
      </c>
      <c r="F95" s="4">
        <f t="shared" si="14"/>
        <v>0</v>
      </c>
      <c r="G95" s="4">
        <f t="shared" si="15"/>
        <v>325</v>
      </c>
      <c r="H95" s="4">
        <f t="shared" si="16"/>
        <v>-325</v>
      </c>
      <c r="I95" s="5">
        <f t="shared" si="17"/>
        <v>0</v>
      </c>
    </row>
    <row r="96" spans="1:10" ht="45" x14ac:dyDescent="0.25">
      <c r="A96" s="2" t="s">
        <v>94</v>
      </c>
      <c r="B96" s="4">
        <f>472</f>
        <v>472</v>
      </c>
      <c r="C96" s="4">
        <f>25</f>
        <v>25</v>
      </c>
      <c r="D96" s="4">
        <f t="shared" si="12"/>
        <v>447</v>
      </c>
      <c r="E96" s="5">
        <f t="shared" si="13"/>
        <v>18.88</v>
      </c>
      <c r="F96" s="4">
        <f t="shared" si="14"/>
        <v>472</v>
      </c>
      <c r="G96" s="4">
        <f t="shared" si="15"/>
        <v>25</v>
      </c>
      <c r="H96" s="4">
        <f t="shared" si="16"/>
        <v>447</v>
      </c>
      <c r="I96" s="5">
        <f t="shared" si="17"/>
        <v>18.88</v>
      </c>
      <c r="J96" s="24" t="s">
        <v>177</v>
      </c>
    </row>
    <row r="97" spans="1:10" x14ac:dyDescent="0.25">
      <c r="A97" s="2" t="s">
        <v>95</v>
      </c>
      <c r="B97" s="4">
        <f>395.35</f>
        <v>395.35</v>
      </c>
      <c r="C97" s="4">
        <f>395.35</f>
        <v>395.35</v>
      </c>
      <c r="D97" s="4">
        <f t="shared" si="12"/>
        <v>0</v>
      </c>
      <c r="E97" s="5">
        <f t="shared" si="13"/>
        <v>1</v>
      </c>
      <c r="F97" s="4">
        <f t="shared" si="14"/>
        <v>395.35</v>
      </c>
      <c r="G97" s="4">
        <f t="shared" si="15"/>
        <v>395.35</v>
      </c>
      <c r="H97" s="4">
        <f t="shared" si="16"/>
        <v>0</v>
      </c>
      <c r="I97" s="5">
        <f t="shared" si="17"/>
        <v>1</v>
      </c>
    </row>
    <row r="98" spans="1:10" x14ac:dyDescent="0.25">
      <c r="A98" s="2" t="s">
        <v>96</v>
      </c>
      <c r="B98" s="4">
        <f>15</f>
        <v>15</v>
      </c>
      <c r="C98" s="4">
        <f>20</f>
        <v>20</v>
      </c>
      <c r="D98" s="4">
        <f t="shared" si="12"/>
        <v>-5</v>
      </c>
      <c r="E98" s="5">
        <f t="shared" si="13"/>
        <v>0.75</v>
      </c>
      <c r="F98" s="4">
        <f t="shared" si="14"/>
        <v>15</v>
      </c>
      <c r="G98" s="4">
        <f t="shared" si="15"/>
        <v>20</v>
      </c>
      <c r="H98" s="4">
        <f t="shared" si="16"/>
        <v>-5</v>
      </c>
      <c r="I98" s="5">
        <f t="shared" si="17"/>
        <v>0.75</v>
      </c>
    </row>
    <row r="99" spans="1:10" x14ac:dyDescent="0.25">
      <c r="A99" s="2" t="s">
        <v>97</v>
      </c>
      <c r="B99" s="4">
        <f>34.27</f>
        <v>34.270000000000003</v>
      </c>
      <c r="C99" s="4">
        <f>100</f>
        <v>100</v>
      </c>
      <c r="D99" s="4">
        <f t="shared" si="12"/>
        <v>-65.72999999999999</v>
      </c>
      <c r="E99" s="5">
        <f t="shared" si="13"/>
        <v>0.3427</v>
      </c>
      <c r="F99" s="4">
        <f t="shared" si="14"/>
        <v>34.270000000000003</v>
      </c>
      <c r="G99" s="4">
        <f t="shared" si="15"/>
        <v>100</v>
      </c>
      <c r="H99" s="4">
        <f t="shared" si="16"/>
        <v>-65.72999999999999</v>
      </c>
      <c r="I99" s="5">
        <f t="shared" si="17"/>
        <v>0.3427</v>
      </c>
    </row>
    <row r="100" spans="1:10" x14ac:dyDescent="0.25">
      <c r="A100" s="2" t="s">
        <v>98</v>
      </c>
      <c r="B100" s="6">
        <f>((((((((B91)+(B92))+(B93))+(B94))+(B95))+(B96))+(B97))+(B98))+(B99)</f>
        <v>2099.04</v>
      </c>
      <c r="C100" s="6">
        <f>((((((((C91)+(C92))+(C93))+(C94))+(C95))+(C96))+(C97))+(C98))+(C99)</f>
        <v>960.35</v>
      </c>
      <c r="D100" s="6">
        <f t="shared" si="12"/>
        <v>1138.69</v>
      </c>
      <c r="E100" s="7">
        <f t="shared" si="13"/>
        <v>2.1857031290675275</v>
      </c>
      <c r="F100" s="6">
        <f t="shared" si="14"/>
        <v>2099.04</v>
      </c>
      <c r="G100" s="6">
        <f t="shared" si="15"/>
        <v>960.35</v>
      </c>
      <c r="H100" s="6">
        <f t="shared" si="16"/>
        <v>1138.69</v>
      </c>
      <c r="I100" s="7">
        <f t="shared" si="17"/>
        <v>2.1857031290675275</v>
      </c>
    </row>
    <row r="101" spans="1:10" x14ac:dyDescent="0.25">
      <c r="A101" s="2" t="s">
        <v>99</v>
      </c>
      <c r="B101" s="3"/>
      <c r="C101" s="3"/>
      <c r="D101" s="4">
        <f t="shared" si="12"/>
        <v>0</v>
      </c>
      <c r="E101" s="5" t="str">
        <f t="shared" si="13"/>
        <v/>
      </c>
      <c r="F101" s="4">
        <f t="shared" si="14"/>
        <v>0</v>
      </c>
      <c r="G101" s="4">
        <f t="shared" si="15"/>
        <v>0</v>
      </c>
      <c r="H101" s="4">
        <f t="shared" si="16"/>
        <v>0</v>
      </c>
      <c r="I101" s="5" t="str">
        <f t="shared" si="17"/>
        <v/>
      </c>
    </row>
    <row r="102" spans="1:10" x14ac:dyDescent="0.25">
      <c r="A102" s="2" t="s">
        <v>100</v>
      </c>
      <c r="B102" s="4">
        <f>8.91</f>
        <v>8.91</v>
      </c>
      <c r="C102" s="4">
        <f>8.83</f>
        <v>8.83</v>
      </c>
      <c r="D102" s="4">
        <f t="shared" si="12"/>
        <v>8.0000000000000071E-2</v>
      </c>
      <c r="E102" s="5">
        <f t="shared" si="13"/>
        <v>1.0090600226500566</v>
      </c>
      <c r="F102" s="4">
        <f t="shared" si="14"/>
        <v>8.91</v>
      </c>
      <c r="G102" s="4">
        <f t="shared" si="15"/>
        <v>8.83</v>
      </c>
      <c r="H102" s="4">
        <f t="shared" si="16"/>
        <v>8.0000000000000071E-2</v>
      </c>
      <c r="I102" s="5">
        <f t="shared" si="17"/>
        <v>1.0090600226500566</v>
      </c>
    </row>
    <row r="103" spans="1:10" x14ac:dyDescent="0.25">
      <c r="A103" s="2" t="s">
        <v>101</v>
      </c>
      <c r="B103" s="4">
        <f>101.54</f>
        <v>101.54</v>
      </c>
      <c r="C103" s="4">
        <f>100.52</f>
        <v>100.52</v>
      </c>
      <c r="D103" s="4">
        <f t="shared" si="12"/>
        <v>1.0200000000000102</v>
      </c>
      <c r="E103" s="5">
        <f t="shared" si="13"/>
        <v>1.0101472343812177</v>
      </c>
      <c r="F103" s="4">
        <f t="shared" si="14"/>
        <v>101.54</v>
      </c>
      <c r="G103" s="4">
        <f t="shared" si="15"/>
        <v>100.52</v>
      </c>
      <c r="H103" s="4">
        <f t="shared" si="16"/>
        <v>1.0200000000000102</v>
      </c>
      <c r="I103" s="5">
        <f t="shared" si="17"/>
        <v>1.0101472343812177</v>
      </c>
    </row>
    <row r="104" spans="1:10" ht="30" x14ac:dyDescent="0.25">
      <c r="A104" s="2" t="s">
        <v>102</v>
      </c>
      <c r="B104" s="4">
        <f>9.23</f>
        <v>9.23</v>
      </c>
      <c r="C104" s="4">
        <f>11.12</f>
        <v>11.12</v>
      </c>
      <c r="D104" s="4">
        <f t="shared" si="12"/>
        <v>-1.8899999999999988</v>
      </c>
      <c r="E104" s="5">
        <f t="shared" si="13"/>
        <v>0.83003597122302164</v>
      </c>
      <c r="F104" s="4">
        <f t="shared" si="14"/>
        <v>9.23</v>
      </c>
      <c r="G104" s="4">
        <f t="shared" si="15"/>
        <v>11.12</v>
      </c>
      <c r="H104" s="4">
        <f t="shared" si="16"/>
        <v>-1.8899999999999988</v>
      </c>
      <c r="I104" s="5">
        <f t="shared" si="17"/>
        <v>0.83003597122302164</v>
      </c>
      <c r="J104" s="10" t="s">
        <v>160</v>
      </c>
    </row>
    <row r="105" spans="1:10" ht="30" x14ac:dyDescent="0.25">
      <c r="A105" s="2" t="s">
        <v>103</v>
      </c>
      <c r="B105" s="4">
        <f>105.16</f>
        <v>105.16</v>
      </c>
      <c r="C105" s="4">
        <f>126.58</f>
        <v>126.58</v>
      </c>
      <c r="D105" s="4">
        <f t="shared" si="12"/>
        <v>-21.42</v>
      </c>
      <c r="E105" s="5">
        <f t="shared" si="13"/>
        <v>0.83077895402117241</v>
      </c>
      <c r="F105" s="4">
        <f t="shared" si="14"/>
        <v>105.16</v>
      </c>
      <c r="G105" s="4">
        <f t="shared" si="15"/>
        <v>126.58</v>
      </c>
      <c r="H105" s="4">
        <f t="shared" si="16"/>
        <v>-21.42</v>
      </c>
      <c r="I105" s="5">
        <f t="shared" si="17"/>
        <v>0.83077895402117241</v>
      </c>
      <c r="J105" s="10" t="s">
        <v>160</v>
      </c>
    </row>
    <row r="106" spans="1:10" x14ac:dyDescent="0.25">
      <c r="A106" s="2" t="s">
        <v>104</v>
      </c>
      <c r="B106" s="11">
        <f>441.98</f>
        <v>441.98</v>
      </c>
      <c r="C106" s="4">
        <f>55.05</f>
        <v>55.05</v>
      </c>
      <c r="D106" s="4">
        <f t="shared" si="12"/>
        <v>386.93</v>
      </c>
      <c r="E106" s="5">
        <f t="shared" si="13"/>
        <v>8.028701180744779</v>
      </c>
      <c r="F106" s="4">
        <f t="shared" si="14"/>
        <v>441.98</v>
      </c>
      <c r="G106" s="4">
        <f t="shared" si="15"/>
        <v>55.05</v>
      </c>
      <c r="H106" s="4">
        <f t="shared" si="16"/>
        <v>386.93</v>
      </c>
      <c r="I106" s="5">
        <f t="shared" si="17"/>
        <v>8.028701180744779</v>
      </c>
    </row>
    <row r="107" spans="1:10" ht="30" x14ac:dyDescent="0.25">
      <c r="A107" s="2" t="s">
        <v>105</v>
      </c>
      <c r="B107" s="4">
        <f>364.31</f>
        <v>364.31</v>
      </c>
      <c r="C107" s="4">
        <f>626.71</f>
        <v>626.71</v>
      </c>
      <c r="D107" s="4">
        <f t="shared" si="12"/>
        <v>-262.40000000000003</v>
      </c>
      <c r="E107" s="5">
        <f t="shared" si="13"/>
        <v>0.58130554802061551</v>
      </c>
      <c r="F107" s="4">
        <f t="shared" si="14"/>
        <v>364.31</v>
      </c>
      <c r="G107" s="4">
        <f t="shared" si="15"/>
        <v>626.71</v>
      </c>
      <c r="H107" s="4">
        <f t="shared" si="16"/>
        <v>-262.40000000000003</v>
      </c>
      <c r="I107" s="5">
        <f t="shared" si="17"/>
        <v>0.58130554802061551</v>
      </c>
      <c r="J107" s="10" t="s">
        <v>160</v>
      </c>
    </row>
    <row r="108" spans="1:10" ht="30" x14ac:dyDescent="0.25">
      <c r="A108" s="2" t="s">
        <v>106</v>
      </c>
      <c r="B108" s="4">
        <f>29.71</f>
        <v>29.71</v>
      </c>
      <c r="C108" s="4">
        <f>25.94</f>
        <v>25.94</v>
      </c>
      <c r="D108" s="4">
        <f t="shared" si="12"/>
        <v>3.7699999999999996</v>
      </c>
      <c r="E108" s="5">
        <f t="shared" si="13"/>
        <v>1.1453353893600617</v>
      </c>
      <c r="F108" s="4">
        <f t="shared" si="14"/>
        <v>29.71</v>
      </c>
      <c r="G108" s="4">
        <f t="shared" si="15"/>
        <v>25.94</v>
      </c>
      <c r="H108" s="4">
        <f t="shared" si="16"/>
        <v>3.7699999999999996</v>
      </c>
      <c r="I108" s="5">
        <f t="shared" si="17"/>
        <v>1.1453353893600617</v>
      </c>
      <c r="J108" s="10" t="s">
        <v>161</v>
      </c>
    </row>
    <row r="109" spans="1:10" ht="30" x14ac:dyDescent="0.25">
      <c r="A109" s="2" t="s">
        <v>107</v>
      </c>
      <c r="B109" s="4">
        <f>338.44</f>
        <v>338.44</v>
      </c>
      <c r="C109" s="4">
        <f>296</f>
        <v>296</v>
      </c>
      <c r="D109" s="4">
        <f t="shared" si="12"/>
        <v>42.44</v>
      </c>
      <c r="E109" s="5">
        <f t="shared" si="13"/>
        <v>1.1433783783783784</v>
      </c>
      <c r="F109" s="4">
        <f t="shared" si="14"/>
        <v>338.44</v>
      </c>
      <c r="G109" s="4">
        <f t="shared" si="15"/>
        <v>296</v>
      </c>
      <c r="H109" s="4">
        <f t="shared" si="16"/>
        <v>42.44</v>
      </c>
      <c r="I109" s="5">
        <f t="shared" si="17"/>
        <v>1.1433783783783784</v>
      </c>
      <c r="J109" s="10" t="s">
        <v>161</v>
      </c>
    </row>
    <row r="110" spans="1:10" ht="90" x14ac:dyDescent="0.25">
      <c r="A110" s="2" t="s">
        <v>108</v>
      </c>
      <c r="B110" s="6">
        <f>((((((((B101)+(B102))+(B103))+(B104))+(B105))+(B106))+(B107))+(B108))+(B109)</f>
        <v>1399.2800000000002</v>
      </c>
      <c r="C110" s="6">
        <f>((((((((C101)+(C102))+(C103))+(C104))+(C105))+(C106))+(C107))+(C108))+(C109)</f>
        <v>1250.75</v>
      </c>
      <c r="D110" s="6">
        <f t="shared" si="12"/>
        <v>148.5300000000002</v>
      </c>
      <c r="E110" s="7">
        <f t="shared" si="13"/>
        <v>1.1187527483509896</v>
      </c>
      <c r="F110" s="6">
        <f t="shared" si="14"/>
        <v>1399.2800000000002</v>
      </c>
      <c r="G110" s="6">
        <f t="shared" si="15"/>
        <v>1250.75</v>
      </c>
      <c r="H110" s="6">
        <f t="shared" si="16"/>
        <v>148.5300000000002</v>
      </c>
      <c r="I110" s="7">
        <f t="shared" si="17"/>
        <v>1.1187527483509896</v>
      </c>
      <c r="J110" s="10" t="s">
        <v>178</v>
      </c>
    </row>
    <row r="111" spans="1:10" x14ac:dyDescent="0.25">
      <c r="A111" s="2" t="s">
        <v>109</v>
      </c>
      <c r="B111" s="3"/>
      <c r="C111" s="3"/>
      <c r="D111" s="4">
        <f t="shared" si="12"/>
        <v>0</v>
      </c>
      <c r="E111" s="5" t="str">
        <f t="shared" si="13"/>
        <v/>
      </c>
      <c r="F111" s="4">
        <f t="shared" si="14"/>
        <v>0</v>
      </c>
      <c r="G111" s="4">
        <f t="shared" si="15"/>
        <v>0</v>
      </c>
      <c r="H111" s="4">
        <f t="shared" si="16"/>
        <v>0</v>
      </c>
      <c r="I111" s="5" t="str">
        <f t="shared" si="17"/>
        <v/>
      </c>
    </row>
    <row r="112" spans="1:10" x14ac:dyDescent="0.25">
      <c r="A112" s="2" t="s">
        <v>110</v>
      </c>
      <c r="B112" s="3"/>
      <c r="C112" s="4">
        <f>25</f>
        <v>25</v>
      </c>
      <c r="D112" s="4">
        <f t="shared" si="12"/>
        <v>-25</v>
      </c>
      <c r="E112" s="5">
        <f t="shared" si="13"/>
        <v>0</v>
      </c>
      <c r="F112" s="4">
        <f t="shared" si="14"/>
        <v>0</v>
      </c>
      <c r="G112" s="4">
        <f t="shared" si="15"/>
        <v>25</v>
      </c>
      <c r="H112" s="4">
        <f t="shared" si="16"/>
        <v>-25</v>
      </c>
      <c r="I112" s="5">
        <f t="shared" si="17"/>
        <v>0</v>
      </c>
    </row>
    <row r="113" spans="1:10" x14ac:dyDescent="0.25">
      <c r="A113" s="2" t="s">
        <v>111</v>
      </c>
      <c r="B113" s="3"/>
      <c r="C113" s="4">
        <f>0</f>
        <v>0</v>
      </c>
      <c r="D113" s="4">
        <f t="shared" si="12"/>
        <v>0</v>
      </c>
      <c r="E113" s="5" t="str">
        <f t="shared" si="13"/>
        <v/>
      </c>
      <c r="F113" s="4">
        <f t="shared" si="14"/>
        <v>0</v>
      </c>
      <c r="G113" s="4">
        <f t="shared" si="15"/>
        <v>0</v>
      </c>
      <c r="H113" s="4">
        <f t="shared" si="16"/>
        <v>0</v>
      </c>
      <c r="I113" s="5" t="str">
        <f t="shared" si="17"/>
        <v/>
      </c>
    </row>
    <row r="114" spans="1:10" x14ac:dyDescent="0.25">
      <c r="A114" s="2" t="s">
        <v>112</v>
      </c>
      <c r="B114" s="11">
        <f>30.5</f>
        <v>30.5</v>
      </c>
      <c r="C114" s="4">
        <f>0</f>
        <v>0</v>
      </c>
      <c r="D114" s="4">
        <f t="shared" si="12"/>
        <v>30.5</v>
      </c>
      <c r="E114" s="5" t="str">
        <f t="shared" si="13"/>
        <v/>
      </c>
      <c r="F114" s="4">
        <f t="shared" si="14"/>
        <v>30.5</v>
      </c>
      <c r="G114" s="4">
        <f t="shared" si="15"/>
        <v>0</v>
      </c>
      <c r="H114" s="4">
        <f t="shared" si="16"/>
        <v>30.5</v>
      </c>
      <c r="I114" s="5" t="str">
        <f t="shared" si="17"/>
        <v/>
      </c>
      <c r="J114" s="24" t="s">
        <v>179</v>
      </c>
    </row>
    <row r="115" spans="1:10" x14ac:dyDescent="0.25">
      <c r="A115" s="2" t="s">
        <v>113</v>
      </c>
      <c r="B115" s="6">
        <f>(((B111)+(B112))+(B113))+(B114)</f>
        <v>30.5</v>
      </c>
      <c r="C115" s="6">
        <f>(((C111)+(C112))+(C113))+(C114)</f>
        <v>25</v>
      </c>
      <c r="D115" s="6">
        <f t="shared" si="12"/>
        <v>5.5</v>
      </c>
      <c r="E115" s="7">
        <f t="shared" si="13"/>
        <v>1.22</v>
      </c>
      <c r="F115" s="6">
        <f t="shared" si="14"/>
        <v>30.5</v>
      </c>
      <c r="G115" s="6">
        <f t="shared" si="15"/>
        <v>25</v>
      </c>
      <c r="H115" s="6">
        <f t="shared" si="16"/>
        <v>5.5</v>
      </c>
      <c r="I115" s="7">
        <f t="shared" si="17"/>
        <v>1.22</v>
      </c>
    </row>
    <row r="116" spans="1:10" x14ac:dyDescent="0.25">
      <c r="A116" s="2" t="s">
        <v>114</v>
      </c>
      <c r="B116" s="3"/>
      <c r="C116" s="3"/>
      <c r="D116" s="4">
        <f t="shared" ref="D116:D147" si="18">(B116)-(C116)</f>
        <v>0</v>
      </c>
      <c r="E116" s="5" t="str">
        <f t="shared" ref="E116:E147" si="19">IF(C116=0,"",(B116)/(C116))</f>
        <v/>
      </c>
      <c r="F116" s="4">
        <f t="shared" ref="F116:F147" si="20">B116</f>
        <v>0</v>
      </c>
      <c r="G116" s="4">
        <f t="shared" ref="G116:G147" si="21">C116</f>
        <v>0</v>
      </c>
      <c r="H116" s="4">
        <f t="shared" ref="H116:H147" si="22">(F116)-(G116)</f>
        <v>0</v>
      </c>
      <c r="I116" s="5" t="str">
        <f t="shared" ref="I116:I147" si="23">IF(G116=0,"",(F116)/(G116))</f>
        <v/>
      </c>
    </row>
    <row r="117" spans="1:10" x14ac:dyDescent="0.25">
      <c r="A117" s="2" t="s">
        <v>115</v>
      </c>
      <c r="B117" s="4">
        <f>3.5</f>
        <v>3.5</v>
      </c>
      <c r="C117" s="4">
        <f>1000</f>
        <v>1000</v>
      </c>
      <c r="D117" s="4">
        <f t="shared" si="18"/>
        <v>-996.5</v>
      </c>
      <c r="E117" s="5">
        <f t="shared" si="19"/>
        <v>3.5000000000000001E-3</v>
      </c>
      <c r="F117" s="4">
        <f t="shared" si="20"/>
        <v>3.5</v>
      </c>
      <c r="G117" s="4">
        <f t="shared" si="21"/>
        <v>1000</v>
      </c>
      <c r="H117" s="4">
        <f t="shared" si="22"/>
        <v>-996.5</v>
      </c>
      <c r="I117" s="5">
        <f t="shared" si="23"/>
        <v>3.5000000000000001E-3</v>
      </c>
    </row>
    <row r="118" spans="1:10" ht="45" x14ac:dyDescent="0.25">
      <c r="A118" s="2" t="s">
        <v>116</v>
      </c>
      <c r="B118" s="3"/>
      <c r="C118" s="4">
        <f>0</f>
        <v>0</v>
      </c>
      <c r="D118" s="4">
        <f t="shared" si="18"/>
        <v>0</v>
      </c>
      <c r="E118" s="5" t="str">
        <f t="shared" si="19"/>
        <v/>
      </c>
      <c r="F118" s="4">
        <f t="shared" si="20"/>
        <v>0</v>
      </c>
      <c r="G118" s="4">
        <f t="shared" si="21"/>
        <v>0</v>
      </c>
      <c r="H118" s="4">
        <f t="shared" si="22"/>
        <v>0</v>
      </c>
      <c r="I118" s="5" t="str">
        <f t="shared" si="23"/>
        <v/>
      </c>
      <c r="J118" s="24" t="s">
        <v>187</v>
      </c>
    </row>
    <row r="119" spans="1:10" ht="30" x14ac:dyDescent="0.25">
      <c r="A119" s="2" t="s">
        <v>117</v>
      </c>
      <c r="B119" s="4">
        <f>228</f>
        <v>228</v>
      </c>
      <c r="C119" s="4">
        <f>0</f>
        <v>0</v>
      </c>
      <c r="D119" s="4">
        <f t="shared" si="18"/>
        <v>228</v>
      </c>
      <c r="E119" s="5" t="str">
        <f t="shared" si="19"/>
        <v/>
      </c>
      <c r="F119" s="4">
        <f t="shared" si="20"/>
        <v>228</v>
      </c>
      <c r="G119" s="4">
        <f t="shared" si="21"/>
        <v>0</v>
      </c>
      <c r="H119" s="4">
        <f t="shared" si="22"/>
        <v>228</v>
      </c>
      <c r="I119" s="5" t="str">
        <f t="shared" si="23"/>
        <v/>
      </c>
      <c r="J119" s="10" t="s">
        <v>180</v>
      </c>
    </row>
    <row r="120" spans="1:10" ht="30" x14ac:dyDescent="0.25">
      <c r="A120" s="2" t="s">
        <v>118</v>
      </c>
      <c r="B120" s="4">
        <f>112</f>
        <v>112</v>
      </c>
      <c r="C120" s="4">
        <f>50</f>
        <v>50</v>
      </c>
      <c r="D120" s="4">
        <f t="shared" si="18"/>
        <v>62</v>
      </c>
      <c r="E120" s="5">
        <f t="shared" si="19"/>
        <v>2.2400000000000002</v>
      </c>
      <c r="F120" s="4">
        <f t="shared" si="20"/>
        <v>112</v>
      </c>
      <c r="G120" s="4">
        <f t="shared" si="21"/>
        <v>50</v>
      </c>
      <c r="H120" s="4">
        <f t="shared" si="22"/>
        <v>62</v>
      </c>
      <c r="I120" s="5">
        <f t="shared" si="23"/>
        <v>2.2400000000000002</v>
      </c>
      <c r="J120" s="10" t="s">
        <v>181</v>
      </c>
    </row>
    <row r="121" spans="1:10" x14ac:dyDescent="0.25">
      <c r="A121" s="2" t="s">
        <v>119</v>
      </c>
      <c r="B121" s="3"/>
      <c r="C121" s="4">
        <f>0</f>
        <v>0</v>
      </c>
      <c r="D121" s="4">
        <f t="shared" si="18"/>
        <v>0</v>
      </c>
      <c r="E121" s="5" t="str">
        <f t="shared" si="19"/>
        <v/>
      </c>
      <c r="F121" s="4">
        <f t="shared" si="20"/>
        <v>0</v>
      </c>
      <c r="G121" s="4">
        <f t="shared" si="21"/>
        <v>0</v>
      </c>
      <c r="H121" s="4">
        <f t="shared" si="22"/>
        <v>0</v>
      </c>
      <c r="I121" s="5" t="str">
        <f t="shared" si="23"/>
        <v/>
      </c>
    </row>
    <row r="122" spans="1:10" x14ac:dyDescent="0.25">
      <c r="A122" s="2" t="s">
        <v>120</v>
      </c>
      <c r="B122" s="3"/>
      <c r="C122" s="4">
        <f>0</f>
        <v>0</v>
      </c>
      <c r="D122" s="4">
        <f t="shared" si="18"/>
        <v>0</v>
      </c>
      <c r="E122" s="5" t="str">
        <f t="shared" si="19"/>
        <v/>
      </c>
      <c r="F122" s="4">
        <f t="shared" si="20"/>
        <v>0</v>
      </c>
      <c r="G122" s="4">
        <f t="shared" si="21"/>
        <v>0</v>
      </c>
      <c r="H122" s="4">
        <f t="shared" si="22"/>
        <v>0</v>
      </c>
      <c r="I122" s="5" t="str">
        <f t="shared" si="23"/>
        <v/>
      </c>
    </row>
    <row r="123" spans="1:10" x14ac:dyDescent="0.25">
      <c r="A123" s="2" t="s">
        <v>121</v>
      </c>
      <c r="B123" s="6">
        <f>((((((B116)+(B117))+(B118))+(B119))+(B120))+(B121))+(B122)</f>
        <v>343.5</v>
      </c>
      <c r="C123" s="6">
        <f>((((((C116)+(C117))+(C118))+(C119))+(C120))+(C121))+(C122)</f>
        <v>1050</v>
      </c>
      <c r="D123" s="6">
        <f t="shared" si="18"/>
        <v>-706.5</v>
      </c>
      <c r="E123" s="7">
        <f t="shared" si="19"/>
        <v>0.32714285714285712</v>
      </c>
      <c r="F123" s="6">
        <f t="shared" si="20"/>
        <v>343.5</v>
      </c>
      <c r="G123" s="6">
        <f t="shared" si="21"/>
        <v>1050</v>
      </c>
      <c r="H123" s="6">
        <f t="shared" si="22"/>
        <v>-706.5</v>
      </c>
      <c r="I123" s="7">
        <f t="shared" si="23"/>
        <v>0.32714285714285712</v>
      </c>
    </row>
    <row r="124" spans="1:10" x14ac:dyDescent="0.25">
      <c r="A124" s="2" t="s">
        <v>122</v>
      </c>
      <c r="B124" s="3"/>
      <c r="C124" s="3"/>
      <c r="D124" s="4">
        <f t="shared" si="18"/>
        <v>0</v>
      </c>
      <c r="E124" s="5" t="str">
        <f t="shared" si="19"/>
        <v/>
      </c>
      <c r="F124" s="4">
        <f t="shared" si="20"/>
        <v>0</v>
      </c>
      <c r="G124" s="4">
        <f t="shared" si="21"/>
        <v>0</v>
      </c>
      <c r="H124" s="4">
        <f t="shared" si="22"/>
        <v>0</v>
      </c>
      <c r="I124" s="5" t="str">
        <f t="shared" si="23"/>
        <v/>
      </c>
    </row>
    <row r="125" spans="1:10" x14ac:dyDescent="0.25">
      <c r="A125" s="2" t="s">
        <v>123</v>
      </c>
      <c r="B125" s="4">
        <f>1253</f>
        <v>1253</v>
      </c>
      <c r="C125" s="4">
        <f>1253</f>
        <v>1253</v>
      </c>
      <c r="D125" s="4">
        <f t="shared" si="18"/>
        <v>0</v>
      </c>
      <c r="E125" s="5">
        <f t="shared" si="19"/>
        <v>1</v>
      </c>
      <c r="F125" s="4">
        <f t="shared" si="20"/>
        <v>1253</v>
      </c>
      <c r="G125" s="4">
        <f t="shared" si="21"/>
        <v>1253</v>
      </c>
      <c r="H125" s="4">
        <f t="shared" si="22"/>
        <v>0</v>
      </c>
      <c r="I125" s="5">
        <f t="shared" si="23"/>
        <v>1</v>
      </c>
    </row>
    <row r="126" spans="1:10" ht="60" x14ac:dyDescent="0.25">
      <c r="A126" s="2" t="s">
        <v>124</v>
      </c>
      <c r="B126" s="4">
        <f>6120.81</f>
        <v>6120.81</v>
      </c>
      <c r="C126" s="4">
        <f>5985.28</f>
        <v>5985.28</v>
      </c>
      <c r="D126" s="4">
        <f t="shared" si="18"/>
        <v>135.53000000000065</v>
      </c>
      <c r="E126" s="5">
        <f t="shared" si="19"/>
        <v>1.022643886334474</v>
      </c>
      <c r="F126" s="4">
        <f t="shared" si="20"/>
        <v>6120.81</v>
      </c>
      <c r="G126" s="4">
        <f t="shared" si="21"/>
        <v>5985.28</v>
      </c>
      <c r="H126" s="4">
        <f t="shared" si="22"/>
        <v>135.53000000000065</v>
      </c>
      <c r="I126" s="5">
        <f t="shared" si="23"/>
        <v>1.022643886334474</v>
      </c>
      <c r="J126" s="10" t="s">
        <v>182</v>
      </c>
    </row>
    <row r="127" spans="1:10" x14ac:dyDescent="0.25">
      <c r="A127" s="2" t="s">
        <v>125</v>
      </c>
      <c r="B127" s="4">
        <f>1291.41</f>
        <v>1291.4100000000001</v>
      </c>
      <c r="C127" s="4">
        <f>1237.94</f>
        <v>1237.94</v>
      </c>
      <c r="D127" s="4">
        <f t="shared" si="18"/>
        <v>53.470000000000027</v>
      </c>
      <c r="E127" s="5">
        <f t="shared" si="19"/>
        <v>1.043192723395318</v>
      </c>
      <c r="F127" s="4">
        <f t="shared" si="20"/>
        <v>1291.4100000000001</v>
      </c>
      <c r="G127" s="4">
        <f t="shared" si="21"/>
        <v>1237.94</v>
      </c>
      <c r="H127" s="4">
        <f t="shared" si="22"/>
        <v>53.470000000000027</v>
      </c>
      <c r="I127" s="5">
        <f t="shared" si="23"/>
        <v>1.043192723395318</v>
      </c>
    </row>
    <row r="128" spans="1:10" x14ac:dyDescent="0.25">
      <c r="A128" s="2" t="s">
        <v>126</v>
      </c>
      <c r="B128" s="4">
        <f>571.3</f>
        <v>571.29999999999995</v>
      </c>
      <c r="C128" s="4">
        <f>573.33</f>
        <v>573.33000000000004</v>
      </c>
      <c r="D128" s="4">
        <f t="shared" si="18"/>
        <v>-2.0300000000000864</v>
      </c>
      <c r="E128" s="5">
        <f t="shared" si="19"/>
        <v>0.99645928174000997</v>
      </c>
      <c r="F128" s="4">
        <f t="shared" si="20"/>
        <v>571.29999999999995</v>
      </c>
      <c r="G128" s="4">
        <f t="shared" si="21"/>
        <v>573.33000000000004</v>
      </c>
      <c r="H128" s="4">
        <f t="shared" si="22"/>
        <v>-2.0300000000000864</v>
      </c>
      <c r="I128" s="5">
        <f t="shared" si="23"/>
        <v>0.99645928174000997</v>
      </c>
    </row>
    <row r="129" spans="1:10" ht="30" x14ac:dyDescent="0.25">
      <c r="A129" s="2" t="s">
        <v>127</v>
      </c>
      <c r="B129" s="3"/>
      <c r="C129" s="4">
        <f>250</f>
        <v>250</v>
      </c>
      <c r="D129" s="4">
        <f t="shared" si="18"/>
        <v>-250</v>
      </c>
      <c r="E129" s="5">
        <f t="shared" si="19"/>
        <v>0</v>
      </c>
      <c r="F129" s="4">
        <f t="shared" si="20"/>
        <v>0</v>
      </c>
      <c r="G129" s="4">
        <f t="shared" si="21"/>
        <v>250</v>
      </c>
      <c r="H129" s="4">
        <f t="shared" si="22"/>
        <v>-250</v>
      </c>
      <c r="I129" s="5">
        <f t="shared" si="23"/>
        <v>0</v>
      </c>
      <c r="J129" s="10" t="s">
        <v>183</v>
      </c>
    </row>
    <row r="130" spans="1:10" ht="90" x14ac:dyDescent="0.25">
      <c r="A130" s="2" t="s">
        <v>128</v>
      </c>
      <c r="B130" s="4">
        <f>230.26</f>
        <v>230.26</v>
      </c>
      <c r="C130" s="4">
        <f>95</f>
        <v>95</v>
      </c>
      <c r="D130" s="4">
        <f t="shared" si="18"/>
        <v>135.26</v>
      </c>
      <c r="E130" s="5">
        <f t="shared" si="19"/>
        <v>2.4237894736842103</v>
      </c>
      <c r="F130" s="4">
        <f t="shared" si="20"/>
        <v>230.26</v>
      </c>
      <c r="G130" s="4">
        <f t="shared" si="21"/>
        <v>95</v>
      </c>
      <c r="H130" s="4">
        <f t="shared" si="22"/>
        <v>135.26</v>
      </c>
      <c r="I130" s="5">
        <f t="shared" si="23"/>
        <v>2.4237894736842103</v>
      </c>
      <c r="J130" s="10" t="s">
        <v>184</v>
      </c>
    </row>
    <row r="131" spans="1:10" ht="30" x14ac:dyDescent="0.25">
      <c r="A131" s="2" t="s">
        <v>129</v>
      </c>
      <c r="B131" s="12"/>
      <c r="C131" s="4">
        <f>600</f>
        <v>600</v>
      </c>
      <c r="D131" s="4">
        <f t="shared" si="18"/>
        <v>-600</v>
      </c>
      <c r="E131" s="5">
        <f t="shared" si="19"/>
        <v>0</v>
      </c>
      <c r="F131" s="4">
        <f t="shared" si="20"/>
        <v>0</v>
      </c>
      <c r="G131" s="4">
        <f t="shared" si="21"/>
        <v>600</v>
      </c>
      <c r="H131" s="4">
        <f t="shared" si="22"/>
        <v>-600</v>
      </c>
      <c r="I131" s="5">
        <f t="shared" si="23"/>
        <v>0</v>
      </c>
      <c r="J131" s="10" t="s">
        <v>185</v>
      </c>
    </row>
    <row r="132" spans="1:10" ht="60" x14ac:dyDescent="0.25">
      <c r="A132" s="2" t="s">
        <v>130</v>
      </c>
      <c r="B132" s="4">
        <f>6692.25</f>
        <v>6692.25</v>
      </c>
      <c r="C132" s="4">
        <f>6599.11</f>
        <v>6599.11</v>
      </c>
      <c r="D132" s="4">
        <f t="shared" si="18"/>
        <v>93.140000000000327</v>
      </c>
      <c r="E132" s="5">
        <f t="shared" si="19"/>
        <v>1.0141140244669358</v>
      </c>
      <c r="F132" s="4">
        <f t="shared" si="20"/>
        <v>6692.25</v>
      </c>
      <c r="G132" s="4">
        <f t="shared" si="21"/>
        <v>6599.11</v>
      </c>
      <c r="H132" s="4">
        <f t="shared" si="22"/>
        <v>93.140000000000327</v>
      </c>
      <c r="I132" s="5">
        <f t="shared" si="23"/>
        <v>1.0141140244669358</v>
      </c>
      <c r="J132" s="10" t="s">
        <v>182</v>
      </c>
    </row>
    <row r="133" spans="1:10" ht="45" x14ac:dyDescent="0.25">
      <c r="A133" s="2" t="s">
        <v>131</v>
      </c>
      <c r="B133" s="3"/>
      <c r="C133" s="4">
        <f>50</f>
        <v>50</v>
      </c>
      <c r="D133" s="4">
        <f t="shared" si="18"/>
        <v>-50</v>
      </c>
      <c r="E133" s="5">
        <f t="shared" si="19"/>
        <v>0</v>
      </c>
      <c r="F133" s="4">
        <f t="shared" si="20"/>
        <v>0</v>
      </c>
      <c r="G133" s="4">
        <f t="shared" si="21"/>
        <v>50</v>
      </c>
      <c r="H133" s="4">
        <f t="shared" si="22"/>
        <v>-50</v>
      </c>
      <c r="I133" s="5">
        <f t="shared" si="23"/>
        <v>0</v>
      </c>
      <c r="J133" s="10" t="s">
        <v>186</v>
      </c>
    </row>
    <row r="134" spans="1:10" x14ac:dyDescent="0.25">
      <c r="A134" s="2" t="s">
        <v>132</v>
      </c>
      <c r="B134" s="3"/>
      <c r="C134" s="4">
        <f>0</f>
        <v>0</v>
      </c>
      <c r="D134" s="4">
        <f t="shared" si="18"/>
        <v>0</v>
      </c>
      <c r="E134" s="5" t="str">
        <f t="shared" si="19"/>
        <v/>
      </c>
      <c r="F134" s="4">
        <f t="shared" si="20"/>
        <v>0</v>
      </c>
      <c r="G134" s="4">
        <f t="shared" si="21"/>
        <v>0</v>
      </c>
      <c r="H134" s="4">
        <f t="shared" si="22"/>
        <v>0</v>
      </c>
      <c r="I134" s="5" t="str">
        <f t="shared" si="23"/>
        <v/>
      </c>
    </row>
    <row r="135" spans="1:10" ht="45" x14ac:dyDescent="0.25">
      <c r="A135" s="2" t="s">
        <v>133</v>
      </c>
      <c r="B135" s="3"/>
      <c r="C135" s="4">
        <f>352.25</f>
        <v>352.25</v>
      </c>
      <c r="D135" s="4">
        <f t="shared" si="18"/>
        <v>-352.25</v>
      </c>
      <c r="E135" s="5">
        <f t="shared" si="19"/>
        <v>0</v>
      </c>
      <c r="F135" s="4">
        <f t="shared" si="20"/>
        <v>0</v>
      </c>
      <c r="G135" s="4">
        <f t="shared" si="21"/>
        <v>352.25</v>
      </c>
      <c r="H135" s="4">
        <f t="shared" si="22"/>
        <v>-352.25</v>
      </c>
      <c r="I135" s="5">
        <f t="shared" si="23"/>
        <v>0</v>
      </c>
      <c r="J135" s="10" t="s">
        <v>188</v>
      </c>
    </row>
    <row r="136" spans="1:10" ht="45" x14ac:dyDescent="0.25">
      <c r="A136" s="2" t="s">
        <v>134</v>
      </c>
      <c r="B136" s="4">
        <f>1387.71</f>
        <v>1387.71</v>
      </c>
      <c r="C136" s="4">
        <f>1058.3</f>
        <v>1058.3</v>
      </c>
      <c r="D136" s="4">
        <f t="shared" si="18"/>
        <v>329.41000000000008</v>
      </c>
      <c r="E136" s="5">
        <f t="shared" si="19"/>
        <v>1.3112633468770671</v>
      </c>
      <c r="F136" s="4">
        <f t="shared" si="20"/>
        <v>1387.71</v>
      </c>
      <c r="G136" s="4">
        <f t="shared" si="21"/>
        <v>1058.3</v>
      </c>
      <c r="H136" s="4">
        <f t="shared" si="22"/>
        <v>329.41000000000008</v>
      </c>
      <c r="I136" s="5">
        <f t="shared" si="23"/>
        <v>1.3112633468770671</v>
      </c>
      <c r="J136" s="10" t="s">
        <v>189</v>
      </c>
    </row>
    <row r="137" spans="1:10" x14ac:dyDescent="0.25">
      <c r="A137" s="2" t="s">
        <v>135</v>
      </c>
      <c r="B137" s="11">
        <f>10.4</f>
        <v>10.4</v>
      </c>
      <c r="C137" s="4">
        <f>225</f>
        <v>225</v>
      </c>
      <c r="D137" s="4">
        <f t="shared" si="18"/>
        <v>-214.6</v>
      </c>
      <c r="E137" s="5">
        <f t="shared" si="19"/>
        <v>4.6222222222222227E-2</v>
      </c>
      <c r="F137" s="4">
        <f t="shared" si="20"/>
        <v>10.4</v>
      </c>
      <c r="G137" s="4">
        <f t="shared" si="21"/>
        <v>225</v>
      </c>
      <c r="H137" s="4">
        <f t="shared" si="22"/>
        <v>-214.6</v>
      </c>
      <c r="I137" s="5">
        <f t="shared" si="23"/>
        <v>4.6222222222222227E-2</v>
      </c>
      <c r="J137" s="24" t="s">
        <v>165</v>
      </c>
    </row>
    <row r="138" spans="1:10" ht="45" x14ac:dyDescent="0.25">
      <c r="A138" s="2" t="s">
        <v>136</v>
      </c>
      <c r="B138" s="3"/>
      <c r="C138" s="4">
        <f>0</f>
        <v>0</v>
      </c>
      <c r="D138" s="4">
        <f t="shared" si="18"/>
        <v>0</v>
      </c>
      <c r="E138" s="5" t="str">
        <f t="shared" si="19"/>
        <v/>
      </c>
      <c r="F138" s="4">
        <f t="shared" si="20"/>
        <v>0</v>
      </c>
      <c r="G138" s="4">
        <f t="shared" si="21"/>
        <v>0</v>
      </c>
      <c r="H138" s="4">
        <f t="shared" si="22"/>
        <v>0</v>
      </c>
      <c r="I138" s="5" t="str">
        <f t="shared" si="23"/>
        <v/>
      </c>
      <c r="J138" s="10" t="s">
        <v>190</v>
      </c>
    </row>
    <row r="139" spans="1:10" ht="30" x14ac:dyDescent="0.25">
      <c r="A139" s="2" t="s">
        <v>137</v>
      </c>
      <c r="B139" s="4">
        <f>2874.65</f>
        <v>2874.65</v>
      </c>
      <c r="C139" s="4">
        <f>2706.88</f>
        <v>2706.88</v>
      </c>
      <c r="D139" s="4">
        <f t="shared" si="18"/>
        <v>167.76999999999998</v>
      </c>
      <c r="E139" s="5">
        <f t="shared" si="19"/>
        <v>1.0619791050951648</v>
      </c>
      <c r="F139" s="4">
        <f t="shared" si="20"/>
        <v>2874.65</v>
      </c>
      <c r="G139" s="4">
        <f t="shared" si="21"/>
        <v>2706.88</v>
      </c>
      <c r="H139" s="4">
        <f t="shared" si="22"/>
        <v>167.76999999999998</v>
      </c>
      <c r="I139" s="5">
        <f t="shared" si="23"/>
        <v>1.0619791050951648</v>
      </c>
      <c r="J139" s="10" t="s">
        <v>191</v>
      </c>
    </row>
    <row r="140" spans="1:10" x14ac:dyDescent="0.25">
      <c r="A140" s="2" t="s">
        <v>138</v>
      </c>
      <c r="B140" s="6">
        <f>(((((((((((((((B124)+(B125))+(B126))+(B127))+(B128))+(B129))+(B130))+(B131))+(B132))+(B133))+(B134))+(B135))+(B136))+(B137))+(B138))+(B139)</f>
        <v>20431.790000000005</v>
      </c>
      <c r="C140" s="6">
        <f>(((((((((((((((C124)+(C125))+(C126))+(C127))+(C128))+(C129))+(C130))+(C131))+(C132))+(C133))+(C134))+(C135))+(C136))+(C137))+(C138))+(C139)</f>
        <v>20986.09</v>
      </c>
      <c r="D140" s="6">
        <f t="shared" si="18"/>
        <v>-554.29999999999563</v>
      </c>
      <c r="E140" s="7">
        <f t="shared" si="19"/>
        <v>0.97358726661326644</v>
      </c>
      <c r="F140" s="6">
        <f t="shared" si="20"/>
        <v>20431.790000000005</v>
      </c>
      <c r="G140" s="6">
        <f t="shared" si="21"/>
        <v>20986.09</v>
      </c>
      <c r="H140" s="6">
        <f t="shared" si="22"/>
        <v>-554.29999999999563</v>
      </c>
      <c r="I140" s="7">
        <f t="shared" si="23"/>
        <v>0.97358726661326644</v>
      </c>
    </row>
    <row r="141" spans="1:10" x14ac:dyDescent="0.25">
      <c r="A141" s="2" t="s">
        <v>139</v>
      </c>
      <c r="B141" s="3"/>
      <c r="C141" s="4">
        <f>1250</f>
        <v>1250</v>
      </c>
      <c r="D141" s="4">
        <f t="shared" si="18"/>
        <v>-1250</v>
      </c>
      <c r="E141" s="5">
        <f t="shared" si="19"/>
        <v>0</v>
      </c>
      <c r="F141" s="4">
        <f t="shared" si="20"/>
        <v>0</v>
      </c>
      <c r="G141" s="4">
        <f t="shared" si="21"/>
        <v>1250</v>
      </c>
      <c r="H141" s="4">
        <f t="shared" si="22"/>
        <v>-1250</v>
      </c>
      <c r="I141" s="5">
        <f t="shared" si="23"/>
        <v>0</v>
      </c>
    </row>
    <row r="142" spans="1:10" x14ac:dyDescent="0.25">
      <c r="A142" s="2" t="s">
        <v>140</v>
      </c>
      <c r="B142" s="12"/>
      <c r="C142" s="4">
        <f>0</f>
        <v>0</v>
      </c>
      <c r="D142" s="4">
        <f t="shared" si="18"/>
        <v>0</v>
      </c>
      <c r="E142" s="5" t="str">
        <f t="shared" si="19"/>
        <v/>
      </c>
      <c r="F142" s="4">
        <f t="shared" si="20"/>
        <v>0</v>
      </c>
      <c r="G142" s="4">
        <f t="shared" si="21"/>
        <v>0</v>
      </c>
      <c r="H142" s="4">
        <f t="shared" si="22"/>
        <v>0</v>
      </c>
      <c r="I142" s="5" t="str">
        <f t="shared" si="23"/>
        <v/>
      </c>
      <c r="J142" s="10" t="s">
        <v>166</v>
      </c>
    </row>
    <row r="143" spans="1:10" x14ac:dyDescent="0.25">
      <c r="A143" s="2" t="s">
        <v>141</v>
      </c>
      <c r="B143" s="3"/>
      <c r="C143" s="4">
        <f>20</f>
        <v>20</v>
      </c>
      <c r="D143" s="4">
        <f t="shared" si="18"/>
        <v>-20</v>
      </c>
      <c r="E143" s="5">
        <f t="shared" si="19"/>
        <v>0</v>
      </c>
      <c r="F143" s="4">
        <f t="shared" si="20"/>
        <v>0</v>
      </c>
      <c r="G143" s="4">
        <f t="shared" si="21"/>
        <v>20</v>
      </c>
      <c r="H143" s="4">
        <f t="shared" si="22"/>
        <v>-20</v>
      </c>
      <c r="I143" s="5">
        <f t="shared" si="23"/>
        <v>0</v>
      </c>
    </row>
    <row r="144" spans="1:10" x14ac:dyDescent="0.25">
      <c r="A144" s="2" t="s">
        <v>142</v>
      </c>
      <c r="B144" s="3"/>
      <c r="C144" s="4">
        <f>250</f>
        <v>250</v>
      </c>
      <c r="D144" s="4">
        <f t="shared" si="18"/>
        <v>-250</v>
      </c>
      <c r="E144" s="5">
        <f t="shared" si="19"/>
        <v>0</v>
      </c>
      <c r="F144" s="4">
        <f t="shared" si="20"/>
        <v>0</v>
      </c>
      <c r="G144" s="4">
        <f t="shared" si="21"/>
        <v>250</v>
      </c>
      <c r="H144" s="4">
        <f t="shared" si="22"/>
        <v>-250</v>
      </c>
      <c r="I144" s="5">
        <f t="shared" si="23"/>
        <v>0</v>
      </c>
    </row>
    <row r="145" spans="1:10" x14ac:dyDescent="0.25">
      <c r="A145" s="2" t="s">
        <v>143</v>
      </c>
      <c r="B145" s="6">
        <f>(((B141)+(B142))+(B143))+(B144)</f>
        <v>0</v>
      </c>
      <c r="C145" s="6">
        <f>(((C141)+(C142))+(C143))+(C144)</f>
        <v>1520</v>
      </c>
      <c r="D145" s="6">
        <f t="shared" si="18"/>
        <v>-1520</v>
      </c>
      <c r="E145" s="7">
        <f t="shared" si="19"/>
        <v>0</v>
      </c>
      <c r="F145" s="6">
        <f t="shared" si="20"/>
        <v>0</v>
      </c>
      <c r="G145" s="6">
        <f t="shared" si="21"/>
        <v>1520</v>
      </c>
      <c r="H145" s="6">
        <f t="shared" si="22"/>
        <v>-1520</v>
      </c>
      <c r="I145" s="7">
        <f t="shared" si="23"/>
        <v>0</v>
      </c>
    </row>
    <row r="146" spans="1:10" x14ac:dyDescent="0.25">
      <c r="A146" s="2" t="s">
        <v>144</v>
      </c>
      <c r="B146" s="3"/>
      <c r="C146" s="4">
        <f>1250</f>
        <v>1250</v>
      </c>
      <c r="D146" s="4">
        <f t="shared" si="18"/>
        <v>-1250</v>
      </c>
      <c r="E146" s="5">
        <f t="shared" si="19"/>
        <v>0</v>
      </c>
      <c r="F146" s="4">
        <f t="shared" si="20"/>
        <v>0</v>
      </c>
      <c r="G146" s="4">
        <f t="shared" si="21"/>
        <v>1250</v>
      </c>
      <c r="H146" s="4">
        <f t="shared" si="22"/>
        <v>-1250</v>
      </c>
      <c r="I146" s="5">
        <f t="shared" si="23"/>
        <v>0</v>
      </c>
    </row>
    <row r="147" spans="1:10" x14ac:dyDescent="0.25">
      <c r="A147" s="2" t="s">
        <v>145</v>
      </c>
      <c r="B147" s="3"/>
      <c r="C147" s="3"/>
      <c r="D147" s="4">
        <f t="shared" si="18"/>
        <v>0</v>
      </c>
      <c r="E147" s="5" t="str">
        <f t="shared" si="19"/>
        <v/>
      </c>
      <c r="F147" s="4">
        <f t="shared" si="20"/>
        <v>0</v>
      </c>
      <c r="G147" s="4">
        <f t="shared" si="21"/>
        <v>0</v>
      </c>
      <c r="H147" s="4">
        <f t="shared" si="22"/>
        <v>0</v>
      </c>
      <c r="I147" s="5" t="str">
        <f t="shared" si="23"/>
        <v/>
      </c>
    </row>
    <row r="148" spans="1:10" x14ac:dyDescent="0.25">
      <c r="A148" s="2" t="s">
        <v>146</v>
      </c>
      <c r="B148" s="3"/>
      <c r="C148" s="4">
        <f>25</f>
        <v>25</v>
      </c>
      <c r="D148" s="4">
        <f t="shared" ref="D148:D156" si="24">(B148)-(C148)</f>
        <v>-25</v>
      </c>
      <c r="E148" s="5">
        <f t="shared" ref="E148:E156" si="25">IF(C148=0,"",(B148)/(C148))</f>
        <v>0</v>
      </c>
      <c r="F148" s="4">
        <f t="shared" ref="F148:F156" si="26">B148</f>
        <v>0</v>
      </c>
      <c r="G148" s="4">
        <f t="shared" ref="G148:G156" si="27">C148</f>
        <v>25</v>
      </c>
      <c r="H148" s="4">
        <f t="shared" ref="H148:H156" si="28">(F148)-(G148)</f>
        <v>-25</v>
      </c>
      <c r="I148" s="5">
        <f t="shared" ref="I148:I156" si="29">IF(G148=0,"",(F148)/(G148))</f>
        <v>0</v>
      </c>
    </row>
    <row r="149" spans="1:10" x14ac:dyDescent="0.25">
      <c r="A149" s="2" t="s">
        <v>147</v>
      </c>
      <c r="B149" s="4">
        <f>50</f>
        <v>50</v>
      </c>
      <c r="C149" s="4">
        <f>200</f>
        <v>200</v>
      </c>
      <c r="D149" s="4">
        <f t="shared" si="24"/>
        <v>-150</v>
      </c>
      <c r="E149" s="5">
        <f t="shared" si="25"/>
        <v>0.25</v>
      </c>
      <c r="F149" s="4">
        <f t="shared" si="26"/>
        <v>50</v>
      </c>
      <c r="G149" s="4">
        <f t="shared" si="27"/>
        <v>200</v>
      </c>
      <c r="H149" s="4">
        <f t="shared" si="28"/>
        <v>-150</v>
      </c>
      <c r="I149" s="5">
        <f t="shared" si="29"/>
        <v>0.25</v>
      </c>
    </row>
    <row r="150" spans="1:10" ht="90" x14ac:dyDescent="0.25">
      <c r="A150" s="2" t="s">
        <v>148</v>
      </c>
      <c r="B150" s="4">
        <f>316.8</f>
        <v>316.8</v>
      </c>
      <c r="C150" s="4">
        <f>125</f>
        <v>125</v>
      </c>
      <c r="D150" s="4">
        <f t="shared" si="24"/>
        <v>191.8</v>
      </c>
      <c r="E150" s="5">
        <f t="shared" si="25"/>
        <v>2.5344000000000002</v>
      </c>
      <c r="F150" s="4">
        <f t="shared" si="26"/>
        <v>316.8</v>
      </c>
      <c r="G150" s="4">
        <f t="shared" si="27"/>
        <v>125</v>
      </c>
      <c r="H150" s="4">
        <f t="shared" si="28"/>
        <v>191.8</v>
      </c>
      <c r="I150" s="5">
        <f t="shared" si="29"/>
        <v>2.5344000000000002</v>
      </c>
      <c r="J150" s="10" t="s">
        <v>192</v>
      </c>
    </row>
    <row r="151" spans="1:10" x14ac:dyDescent="0.25">
      <c r="A151" s="2" t="s">
        <v>149</v>
      </c>
      <c r="B151" s="4">
        <f>81</f>
        <v>81</v>
      </c>
      <c r="C151" s="4">
        <f>25</f>
        <v>25</v>
      </c>
      <c r="D151" s="4">
        <f t="shared" si="24"/>
        <v>56</v>
      </c>
      <c r="E151" s="5">
        <f t="shared" si="25"/>
        <v>3.24</v>
      </c>
      <c r="F151" s="4">
        <f t="shared" si="26"/>
        <v>81</v>
      </c>
      <c r="G151" s="4">
        <f t="shared" si="27"/>
        <v>25</v>
      </c>
      <c r="H151" s="4">
        <f t="shared" si="28"/>
        <v>56</v>
      </c>
      <c r="I151" s="5">
        <f t="shared" si="29"/>
        <v>3.24</v>
      </c>
    </row>
    <row r="152" spans="1:10" x14ac:dyDescent="0.25">
      <c r="A152" s="2" t="s">
        <v>150</v>
      </c>
      <c r="B152" s="3"/>
      <c r="C152" s="4">
        <f>0</f>
        <v>0</v>
      </c>
      <c r="D152" s="4">
        <f t="shared" si="24"/>
        <v>0</v>
      </c>
      <c r="E152" s="5" t="str">
        <f t="shared" si="25"/>
        <v/>
      </c>
      <c r="F152" s="4">
        <f t="shared" si="26"/>
        <v>0</v>
      </c>
      <c r="G152" s="4">
        <f t="shared" si="27"/>
        <v>0</v>
      </c>
      <c r="H152" s="4">
        <f t="shared" si="28"/>
        <v>0</v>
      </c>
      <c r="I152" s="5" t="str">
        <f t="shared" si="29"/>
        <v/>
      </c>
    </row>
    <row r="153" spans="1:10" x14ac:dyDescent="0.25">
      <c r="A153" s="2" t="s">
        <v>151</v>
      </c>
      <c r="B153" s="6">
        <f>(((((B147)+(B148))+(B149))+(B150))+(B151))+(B152)</f>
        <v>447.8</v>
      </c>
      <c r="C153" s="6">
        <f>(((((C147)+(C148))+(C149))+(C150))+(C151))+(C152)</f>
        <v>375</v>
      </c>
      <c r="D153" s="6">
        <f t="shared" si="24"/>
        <v>72.800000000000011</v>
      </c>
      <c r="E153" s="7">
        <f t="shared" si="25"/>
        <v>1.1941333333333333</v>
      </c>
      <c r="F153" s="6">
        <f t="shared" si="26"/>
        <v>447.8</v>
      </c>
      <c r="G153" s="6">
        <f t="shared" si="27"/>
        <v>375</v>
      </c>
      <c r="H153" s="6">
        <f t="shared" si="28"/>
        <v>72.800000000000011</v>
      </c>
      <c r="I153" s="7">
        <f t="shared" si="29"/>
        <v>1.1941333333333333</v>
      </c>
    </row>
    <row r="154" spans="1:10" x14ac:dyDescent="0.25">
      <c r="A154" s="2" t="s">
        <v>152</v>
      </c>
      <c r="B154" s="6">
        <f>(((((((((((((((B61)+(B66))+(B67))+(B68))+(B69))+(B83))+(B84))+(B90))+(B100))+(B110))+(B115))+(B123))+(B140))+(B145))+(B146))+(B153)</f>
        <v>27019.520000000004</v>
      </c>
      <c r="C154" s="6">
        <f>(((((((((((((((C61)+(C66))+(C67))+(C68))+(C69))+(C83))+(C84))+(C90))+(C100))+(C110))+(C115))+(C123))+(C140))+(C145))+(C146))+(C153)</f>
        <v>29558.190000000002</v>
      </c>
      <c r="D154" s="6">
        <f t="shared" si="24"/>
        <v>-2538.6699999999983</v>
      </c>
      <c r="E154" s="7">
        <f t="shared" si="25"/>
        <v>0.9141128059600403</v>
      </c>
      <c r="F154" s="6">
        <f t="shared" si="26"/>
        <v>27019.520000000004</v>
      </c>
      <c r="G154" s="6">
        <f t="shared" si="27"/>
        <v>29558.190000000002</v>
      </c>
      <c r="H154" s="6">
        <f t="shared" si="28"/>
        <v>-2538.6699999999983</v>
      </c>
      <c r="I154" s="7">
        <f t="shared" si="29"/>
        <v>0.9141128059600403</v>
      </c>
    </row>
    <row r="155" spans="1:10" x14ac:dyDescent="0.25">
      <c r="A155" s="2" t="s">
        <v>153</v>
      </c>
      <c r="B155" s="6">
        <f>(B50)-(B154)</f>
        <v>15840.829999999994</v>
      </c>
      <c r="C155" s="6">
        <f>(C50)-(C154)</f>
        <v>-6768.6900000000023</v>
      </c>
      <c r="D155" s="6">
        <f t="shared" si="24"/>
        <v>22609.519999999997</v>
      </c>
      <c r="E155" s="7">
        <f t="shared" si="25"/>
        <v>-2.3403095724578891</v>
      </c>
      <c r="F155" s="6">
        <f t="shared" si="26"/>
        <v>15840.829999999994</v>
      </c>
      <c r="G155" s="6">
        <f t="shared" si="27"/>
        <v>-6768.6900000000023</v>
      </c>
      <c r="H155" s="6">
        <f t="shared" si="28"/>
        <v>22609.519999999997</v>
      </c>
      <c r="I155" s="7">
        <f t="shared" si="29"/>
        <v>-2.3403095724578891</v>
      </c>
    </row>
    <row r="156" spans="1:10" x14ac:dyDescent="0.25">
      <c r="A156" s="2" t="s">
        <v>154</v>
      </c>
      <c r="B156" s="8">
        <f>(B155)+(0)</f>
        <v>15840.829999999994</v>
      </c>
      <c r="C156" s="8">
        <f>(C155)+(0)</f>
        <v>-6768.6900000000023</v>
      </c>
      <c r="D156" s="8">
        <f t="shared" si="24"/>
        <v>22609.519999999997</v>
      </c>
      <c r="E156" s="9">
        <f t="shared" si="25"/>
        <v>-2.3403095724578891</v>
      </c>
      <c r="F156" s="8">
        <f t="shared" si="26"/>
        <v>15840.829999999994</v>
      </c>
      <c r="G156" s="8">
        <f t="shared" si="27"/>
        <v>-6768.6900000000023</v>
      </c>
      <c r="H156" s="8">
        <f t="shared" si="28"/>
        <v>22609.519999999997</v>
      </c>
      <c r="I156" s="9">
        <f t="shared" si="29"/>
        <v>-2.3403095724578891</v>
      </c>
    </row>
    <row r="157" spans="1:10" x14ac:dyDescent="0.25">
      <c r="A157" s="2"/>
      <c r="B157" s="3"/>
      <c r="C157" s="3"/>
      <c r="D157" s="3"/>
      <c r="E157" s="3"/>
      <c r="F157" s="3"/>
      <c r="G157" s="3"/>
      <c r="H157" s="3"/>
      <c r="I157" s="3"/>
    </row>
    <row r="160" spans="1:10" x14ac:dyDescent="0.25">
      <c r="A160" s="14" t="s">
        <v>155</v>
      </c>
      <c r="B160" s="15"/>
      <c r="C160" s="15"/>
      <c r="D160" s="15"/>
      <c r="E160" s="15"/>
      <c r="F160" s="15"/>
      <c r="G160" s="15"/>
      <c r="H160" s="15"/>
      <c r="I160" s="15"/>
    </row>
  </sheetData>
  <mergeCells count="6">
    <mergeCell ref="B5:E5"/>
    <mergeCell ref="F5:I5"/>
    <mergeCell ref="A160:I160"/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Debi Marsden</cp:lastModifiedBy>
  <dcterms:created xsi:type="dcterms:W3CDTF">2019-08-06T09:52:13Z</dcterms:created>
  <dcterms:modified xsi:type="dcterms:W3CDTF">2019-08-14T15:44:18Z</dcterms:modified>
</cp:coreProperties>
</file>